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kellyangulo/Documents/GENERALES/NORTE CM/WORD/"/>
    </mc:Choice>
  </mc:AlternateContent>
  <xr:revisionPtr revIDLastSave="0" documentId="13_ncr:1_{11A3573C-F281-4C49-BFC7-FF8EA51EBAE7}" xr6:coauthVersionLast="47" xr6:coauthVersionMax="47" xr10:uidLastSave="{00000000-0000-0000-0000-000000000000}"/>
  <bookViews>
    <workbookView xWindow="0" yWindow="500" windowWidth="32260" windowHeight="20440" tabRatio="734" xr2:uid="{00000000-000D-0000-FFFF-FFFF00000000}"/>
  </bookViews>
  <sheets>
    <sheet name="PRESUPUESTO FINAL" sheetId="17" r:id="rId1"/>
    <sheet name="ALFAGIA" sheetId="69" r:id="rId2"/>
    <sheet name="ANDEN " sheetId="68" r:id="rId3"/>
    <sheet name="PUERTA HIDRAULICA" sheetId="67" r:id="rId4"/>
    <sheet name="ANCLAJE METEORA" sheetId="66" r:id="rId5"/>
    <sheet name="MOVIMIENTO DE TIERRA" sheetId="63" r:id="rId6"/>
    <sheet name="MUEBLE ALTO" sheetId="62" r:id="rId7"/>
    <sheet name="MUEBLE BAJO RH" sheetId="61" r:id="rId8"/>
    <sheet name="CUBIERTA POLICARBONATO" sheetId="60" r:id="rId9"/>
    <sheet name="MEDIACAÑA" sheetId="59" r:id="rId10"/>
    <sheet name="IMPERMEABILIZACION TERRAZAS" sheetId="58" r:id="rId11"/>
    <sheet name="PLANTA ORNAMENTALES" sheetId="57" r:id="rId12"/>
    <sheet name="TIERRA AGRICOLA" sheetId="56" r:id="rId13"/>
    <sheet name="BANCA MADERA" sheetId="55" r:id="rId14"/>
    <sheet name="MURETES MATERAS" sheetId="54" r:id="rId15"/>
    <sheet name="VENTANAS" sheetId="52" r:id="rId16"/>
    <sheet name="BARANDA PASAMANOS" sheetId="51" r:id="rId17"/>
    <sheet name="QUARTZTONE" sheetId="48" r:id="rId18"/>
    <sheet name="REFUERZO MESONES" sheetId="50" r:id="rId19"/>
    <sheet name="SOPORTES ESPEJOS" sheetId="49" r:id="rId20"/>
    <sheet name="ESPEJOS" sheetId="47" r:id="rId21"/>
    <sheet name="LAVAPLATOS INOX" sheetId="46" r:id="rId22"/>
    <sheet name="REJILLAS" sheetId="45" r:id="rId23"/>
    <sheet name="GRIFERIAS" sheetId="44" r:id="rId24"/>
    <sheet name="SANITARIOS Y LAVAMANOS" sheetId="43" r:id="rId25"/>
    <sheet name="DIVISIONES EN ACERO INOXIDABLE" sheetId="42" r:id="rId26"/>
    <sheet name="PUERTAS " sheetId="40" r:id="rId27"/>
    <sheet name="PUERTAS MEDIDAS" sheetId="33" r:id="rId28"/>
    <sheet name="FACHADA EN VIDRIO" sheetId="41" r:id="rId29"/>
    <sheet name="ESTRUCTURAL TANQUE" sheetId="39" r:id="rId30"/>
    <sheet name="KORAZA" sheetId="38" r:id="rId31"/>
    <sheet name="ESGRAFIADOS" sheetId="37" r:id="rId32"/>
    <sheet name="VINILO CIELO" sheetId="35" r:id="rId33"/>
    <sheet name="VINILO INTERNO" sheetId="34" r:id="rId34"/>
    <sheet name="FILOS" sheetId="32" r:id="rId35"/>
    <sheet name="ESTUCO EXTERIOR" sheetId="31" r:id="rId36"/>
    <sheet name="ESTUCOS INTERNOS" sheetId="30" r:id="rId37"/>
    <sheet name="ESQUINEROS" sheetId="29" r:id="rId38"/>
    <sheet name="MEDIACAÑA " sheetId="28" r:id="rId39"/>
    <sheet name="CIELO FALSO" sheetId="27" r:id="rId40"/>
    <sheet name="REJILLA PISO" sheetId="26" r:id="rId41"/>
    <sheet name="MESONES" sheetId="25" r:id="rId42"/>
    <sheet name="ENCHAPE CERAMICO" sheetId="24" r:id="rId43"/>
    <sheet name="PENDIENTADO LOSA" sheetId="23" r:id="rId44"/>
    <sheet name="GUARDAESCOBAS" sheetId="22" r:id="rId45"/>
    <sheet name="ALISTADO DE PISO" sheetId="21" r:id="rId46"/>
    <sheet name="MALLA ELECTROSOLDADA" sheetId="20" r:id="rId47"/>
    <sheet name="CONTRAPISO 10CM" sheetId="19" r:id="rId48"/>
    <sheet name="ESTRIAS" sheetId="18" r:id="rId49"/>
    <sheet name="DILATACIONES" sheetId="16" r:id="rId50"/>
    <sheet name="CARTERAS REPELLO" sheetId="15" r:id="rId51"/>
    <sheet name="PISOS" sheetId="14" r:id="rId52"/>
    <sheet name="REPELLOS CULATAS" sheetId="9" r:id="rId53"/>
    <sheet name=" REPELLOS INTERNOS" sheetId="11" r:id="rId54"/>
    <sheet name="MUROS BLOQUE CONCRETO" sheetId="2" r:id="rId55"/>
    <sheet name="ESTRCUTURA MURO SUPERBOARD" sheetId="3" r:id="rId56"/>
    <sheet name="MURO BOARD" sheetId="5" r:id="rId57"/>
    <sheet name="COLUMNETAS" sheetId="6" r:id="rId58"/>
    <sheet name="VIGUETAS" sheetId="7" r:id="rId59"/>
    <sheet name="ACERO ELEMENTOS NO ESTRUCTURALE" sheetId="8" r:id="rId60"/>
  </sheets>
  <definedNames>
    <definedName name="Adm" localSheetId="0">'PRESUPUESTO FINAL'!#REF!</definedName>
    <definedName name="Adm">#REF!</definedName>
    <definedName name="_xlnm.Print_Area" localSheetId="0">'PRESUPUESTO FINAL'!$B$1:$R$591</definedName>
    <definedName name="SbtPpto" localSheetId="0">'PRESUPUESTO FINAL'!#REF!</definedName>
    <definedName name="SbtPpto">#REF!</definedName>
    <definedName name="_xlnm.Print_Titles" localSheetId="0">'PRESUPUESTO FINAL'!$1:$5</definedName>
    <definedName name="TtlCD" localSheetId="0">'PRESUPUESTO FINAL'!#REF!</definedName>
    <definedName name="TtlCD">#REF!</definedName>
    <definedName name="Utilidad" localSheetId="0">'PRESUPUESTO FINAL'!#REF!</definedName>
    <definedName name="Utilida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61" i="17" l="1"/>
  <c r="AC574" i="17" l="1"/>
  <c r="AC576" i="17" s="1"/>
  <c r="AC578" i="17" s="1"/>
  <c r="E533" i="17"/>
  <c r="Y417" i="17"/>
  <c r="Z417" i="17" s="1"/>
  <c r="Y381" i="17"/>
  <c r="Y289" i="17"/>
  <c r="Y287" i="17"/>
  <c r="Y286" i="17"/>
  <c r="Y285" i="17"/>
  <c r="Y271" i="17"/>
  <c r="Y273" i="17"/>
  <c r="Y208" i="17"/>
  <c r="Y207" i="17"/>
  <c r="Y205" i="17"/>
  <c r="Y204" i="17"/>
  <c r="Y203" i="17"/>
  <c r="Y202" i="17"/>
  <c r="Y154" i="17"/>
  <c r="Y137" i="17"/>
  <c r="Y128" i="17"/>
  <c r="Y127" i="17"/>
  <c r="Y126" i="17"/>
  <c r="Y125" i="17"/>
  <c r="Y124" i="17"/>
  <c r="Y123" i="17"/>
  <c r="Y122" i="17"/>
  <c r="Y116" i="17"/>
  <c r="Y114" i="17"/>
  <c r="Y112" i="17"/>
  <c r="Y102" i="17"/>
  <c r="Y101" i="17"/>
  <c r="Y100" i="17"/>
  <c r="Y99" i="17"/>
  <c r="Y98" i="17"/>
  <c r="Y95" i="17"/>
  <c r="Y94" i="17"/>
  <c r="Y93" i="17"/>
  <c r="Y92" i="17"/>
  <c r="Y91" i="17"/>
  <c r="Y90" i="17"/>
  <c r="Y85" i="17"/>
  <c r="Y84" i="17"/>
  <c r="X85" i="17" l="1"/>
  <c r="E85" i="17"/>
  <c r="AD495" i="17" l="1"/>
  <c r="AD17" i="17"/>
  <c r="AD33" i="17"/>
  <c r="AD26" i="17"/>
  <c r="AC160" i="17"/>
  <c r="AB522" i="17"/>
  <c r="Y571" i="17"/>
  <c r="Z571" i="17" s="1"/>
  <c r="Y570" i="17"/>
  <c r="Z570" i="17" s="1"/>
  <c r="Y569" i="17"/>
  <c r="Z569" i="17" s="1"/>
  <c r="Y568" i="17"/>
  <c r="Z568" i="17" s="1"/>
  <c r="Y567" i="17"/>
  <c r="Z567" i="17" s="1"/>
  <c r="Y566" i="17"/>
  <c r="Z566" i="17" s="1"/>
  <c r="Y565" i="17"/>
  <c r="Z565" i="17" s="1"/>
  <c r="Y564" i="17"/>
  <c r="Z564" i="17" s="1"/>
  <c r="Y562" i="17"/>
  <c r="Z562" i="17" s="1"/>
  <c r="G571" i="17"/>
  <c r="AD571" i="17" s="1"/>
  <c r="G570" i="17"/>
  <c r="G569" i="17"/>
  <c r="G568" i="17"/>
  <c r="G567" i="17"/>
  <c r="G566" i="17"/>
  <c r="G565" i="17"/>
  <c r="G564" i="17"/>
  <c r="Z563" i="17" l="1"/>
  <c r="AD570" i="17"/>
  <c r="AD565" i="17"/>
  <c r="AD566" i="17"/>
  <c r="AD568" i="17"/>
  <c r="AD564" i="17"/>
  <c r="AD567" i="17"/>
  <c r="AD569" i="17"/>
  <c r="G563" i="17"/>
  <c r="Y38" i="17"/>
  <c r="AD563" i="17" l="1"/>
  <c r="Y561" i="17"/>
  <c r="Z561" i="17" s="1"/>
  <c r="Y560" i="17"/>
  <c r="Z560" i="17" s="1"/>
  <c r="Y516" i="17"/>
  <c r="AC84" i="17"/>
  <c r="AC85" i="17"/>
  <c r="AC83" i="17" l="1"/>
  <c r="AC86" i="17" s="1"/>
  <c r="AC529" i="17" l="1"/>
  <c r="AC532" i="17" s="1"/>
  <c r="Y530" i="17"/>
  <c r="Z530" i="17" s="1"/>
  <c r="Z529" i="17" s="1"/>
  <c r="Z532" i="17" s="1"/>
  <c r="AA523" i="17"/>
  <c r="AA524" i="17"/>
  <c r="AA522" i="17"/>
  <c r="AC522" i="17" s="1"/>
  <c r="AB524" i="17"/>
  <c r="AB523" i="17"/>
  <c r="Y524" i="17"/>
  <c r="Z524" i="17" s="1"/>
  <c r="Y523" i="17"/>
  <c r="Z523" i="17" s="1"/>
  <c r="Y522" i="17"/>
  <c r="Z522" i="17" s="1"/>
  <c r="AC516" i="17"/>
  <c r="AC514" i="17"/>
  <c r="AC513" i="17"/>
  <c r="AC512" i="17"/>
  <c r="AC511" i="17"/>
  <c r="AC510" i="17"/>
  <c r="Z516" i="17"/>
  <c r="Y514" i="17"/>
  <c r="Z514" i="17" s="1"/>
  <c r="Y513" i="17"/>
  <c r="Z513" i="17" s="1"/>
  <c r="Y512" i="17"/>
  <c r="Z512" i="17" s="1"/>
  <c r="Y511" i="17"/>
  <c r="Z511" i="17" s="1"/>
  <c r="Y510" i="17"/>
  <c r="Z510" i="17" s="1"/>
  <c r="Y505" i="17"/>
  <c r="Z505" i="17" s="1"/>
  <c r="Y504" i="17"/>
  <c r="Z504" i="17" s="1"/>
  <c r="Y503" i="17"/>
  <c r="Z503" i="17" s="1"/>
  <c r="Y502" i="17"/>
  <c r="Z502" i="17" s="1"/>
  <c r="Y501" i="17"/>
  <c r="Z501" i="17" s="1"/>
  <c r="Y500" i="17"/>
  <c r="Z500" i="17" s="1"/>
  <c r="Y499" i="17"/>
  <c r="Z499" i="17" s="1"/>
  <c r="Y498" i="17"/>
  <c r="Z498" i="17" s="1"/>
  <c r="Y497" i="17"/>
  <c r="Z497" i="17" s="1"/>
  <c r="Y494" i="17"/>
  <c r="Z494" i="17" s="1"/>
  <c r="Y493" i="17"/>
  <c r="Z493" i="17" s="1"/>
  <c r="Y492" i="17"/>
  <c r="Z492" i="17" s="1"/>
  <c r="Y491" i="17"/>
  <c r="Z491" i="17" s="1"/>
  <c r="Y490" i="17"/>
  <c r="Z490" i="17" s="1"/>
  <c r="Y489" i="17"/>
  <c r="Z489" i="17" s="1"/>
  <c r="Y488" i="17"/>
  <c r="Z488" i="17" s="1"/>
  <c r="Y487" i="17"/>
  <c r="Z487" i="17" s="1"/>
  <c r="Y486" i="17"/>
  <c r="Z486" i="17" s="1"/>
  <c r="Y485" i="17"/>
  <c r="Z485" i="17" s="1"/>
  <c r="Y484" i="17"/>
  <c r="Z484" i="17" s="1"/>
  <c r="Y482" i="17"/>
  <c r="Z482" i="17" s="1"/>
  <c r="Y481" i="17"/>
  <c r="Z481" i="17" s="1"/>
  <c r="Y480" i="17"/>
  <c r="Z480" i="17" s="1"/>
  <c r="Y479" i="17"/>
  <c r="Z479" i="17" s="1"/>
  <c r="Y477" i="17"/>
  <c r="Z477" i="17" s="1"/>
  <c r="Y476" i="17"/>
  <c r="Z476" i="17" s="1"/>
  <c r="Y475" i="17"/>
  <c r="Z475" i="17" s="1"/>
  <c r="Y474" i="17"/>
  <c r="Z474" i="17" s="1"/>
  <c r="Y473" i="17"/>
  <c r="Z473" i="17" s="1"/>
  <c r="Y472" i="17"/>
  <c r="Z472" i="17" s="1"/>
  <c r="Y471" i="17"/>
  <c r="Z471" i="17" s="1"/>
  <c r="Y470" i="17"/>
  <c r="Z470" i="17" s="1"/>
  <c r="Y465" i="17"/>
  <c r="Z465" i="17" s="1"/>
  <c r="Y464" i="17"/>
  <c r="Z464" i="17" s="1"/>
  <c r="Y463" i="17"/>
  <c r="Z463" i="17" s="1"/>
  <c r="Y462" i="17"/>
  <c r="Z462" i="17" s="1"/>
  <c r="Y461" i="17"/>
  <c r="Z461" i="17" s="1"/>
  <c r="Y460" i="17"/>
  <c r="Z460" i="17" s="1"/>
  <c r="Y459" i="17"/>
  <c r="Z459" i="17" s="1"/>
  <c r="Y458" i="17"/>
  <c r="Z458" i="17" s="1"/>
  <c r="Y457" i="17"/>
  <c r="Z457" i="17" s="1"/>
  <c r="Y456" i="17"/>
  <c r="Z456" i="17" s="1"/>
  <c r="Y455" i="17"/>
  <c r="Z455" i="17" s="1"/>
  <c r="Y454" i="17"/>
  <c r="Z454" i="17" s="1"/>
  <c r="Y453" i="17"/>
  <c r="Z453" i="17" s="1"/>
  <c r="Y452" i="17"/>
  <c r="Z452" i="17" s="1"/>
  <c r="Y451" i="17"/>
  <c r="Z451" i="17" s="1"/>
  <c r="Y450" i="17"/>
  <c r="Z450" i="17" s="1"/>
  <c r="Y449" i="17"/>
  <c r="Z449" i="17" s="1"/>
  <c r="Y448" i="17"/>
  <c r="Z448" i="17" s="1"/>
  <c r="Y447" i="17"/>
  <c r="Z447" i="17" s="1"/>
  <c r="Y445" i="17"/>
  <c r="Z445" i="17" s="1"/>
  <c r="Y444" i="17"/>
  <c r="Z444" i="17" s="1"/>
  <c r="Y443" i="17"/>
  <c r="Z443" i="17" s="1"/>
  <c r="Y442" i="17"/>
  <c r="Z442" i="17" s="1"/>
  <c r="Y441" i="17"/>
  <c r="Z441" i="17" s="1"/>
  <c r="Y438" i="17"/>
  <c r="Z438" i="17" s="1"/>
  <c r="Y437" i="17"/>
  <c r="Z437" i="17" s="1"/>
  <c r="Y436" i="17"/>
  <c r="Z436" i="17" s="1"/>
  <c r="Y435" i="17"/>
  <c r="Z435" i="17" s="1"/>
  <c r="Y434" i="17"/>
  <c r="Z434" i="17" s="1"/>
  <c r="Y433" i="17"/>
  <c r="Z433" i="17" s="1"/>
  <c r="Y432" i="17"/>
  <c r="Z432" i="17" s="1"/>
  <c r="Y429" i="17"/>
  <c r="Z429" i="17" s="1"/>
  <c r="Y428" i="17"/>
  <c r="Z428" i="17" s="1"/>
  <c r="Y427" i="17"/>
  <c r="Z427" i="17" s="1"/>
  <c r="Y426" i="17"/>
  <c r="Z426" i="17" s="1"/>
  <c r="Y425" i="17"/>
  <c r="Z425" i="17" s="1"/>
  <c r="Y424" i="17"/>
  <c r="Z424" i="17" s="1"/>
  <c r="Y423" i="17"/>
  <c r="Z423" i="17" s="1"/>
  <c r="Y422" i="17"/>
  <c r="Z422" i="17" s="1"/>
  <c r="Y421" i="17"/>
  <c r="Z421" i="17" s="1"/>
  <c r="Y420" i="17"/>
  <c r="Z420" i="17" s="1"/>
  <c r="Y419" i="17"/>
  <c r="Z419" i="17" s="1"/>
  <c r="Y418" i="17"/>
  <c r="Z418" i="17" s="1"/>
  <c r="Y414" i="17"/>
  <c r="Z414" i="17" s="1"/>
  <c r="Y413" i="17"/>
  <c r="Z413" i="17" s="1"/>
  <c r="Y412" i="17"/>
  <c r="Z412" i="17" s="1"/>
  <c r="Y411" i="17"/>
  <c r="Z411" i="17" s="1"/>
  <c r="Y410" i="17"/>
  <c r="Z410" i="17" s="1"/>
  <c r="Y409" i="17"/>
  <c r="Z409" i="17" s="1"/>
  <c r="Y408" i="17"/>
  <c r="Z408" i="17" s="1"/>
  <c r="Y407" i="17"/>
  <c r="Z407" i="17" s="1"/>
  <c r="Y406" i="17"/>
  <c r="Z406" i="17" s="1"/>
  <c r="Y405" i="17"/>
  <c r="Z405" i="17" s="1"/>
  <c r="Y404" i="17"/>
  <c r="Z404" i="17" s="1"/>
  <c r="Y403" i="17"/>
  <c r="Z403" i="17" s="1"/>
  <c r="Y400" i="17"/>
  <c r="Z400" i="17" s="1"/>
  <c r="Y399" i="17"/>
  <c r="Z399" i="17" s="1"/>
  <c r="Y398" i="17"/>
  <c r="Z398" i="17" s="1"/>
  <c r="Y397" i="17"/>
  <c r="Z397" i="17" s="1"/>
  <c r="Y396" i="17"/>
  <c r="Z396" i="17" s="1"/>
  <c r="Y395" i="17"/>
  <c r="Z395" i="17" s="1"/>
  <c r="Y394" i="17"/>
  <c r="Z394" i="17" s="1"/>
  <c r="Y393" i="17"/>
  <c r="Z393" i="17" s="1"/>
  <c r="Y392" i="17"/>
  <c r="Z392" i="17" s="1"/>
  <c r="Y389" i="17"/>
  <c r="Z389" i="17" s="1"/>
  <c r="Y388" i="17"/>
  <c r="Z388" i="17" s="1"/>
  <c r="Y387" i="17"/>
  <c r="Z387" i="17" s="1"/>
  <c r="Y386" i="17"/>
  <c r="Z386" i="17" s="1"/>
  <c r="Y385" i="17"/>
  <c r="Z385" i="17" s="1"/>
  <c r="Y384" i="17"/>
  <c r="Z384" i="17" s="1"/>
  <c r="Z381" i="17"/>
  <c r="Y380" i="17"/>
  <c r="Z380" i="17" s="1"/>
  <c r="Y379" i="17"/>
  <c r="Z379" i="17" s="1"/>
  <c r="Y378" i="17"/>
  <c r="Z378" i="17" s="1"/>
  <c r="Y377" i="17"/>
  <c r="Z377" i="17" s="1"/>
  <c r="Y376" i="17"/>
  <c r="Z376" i="17" s="1"/>
  <c r="Y375" i="17"/>
  <c r="Z375" i="17" s="1"/>
  <c r="Y374" i="17"/>
  <c r="Z374" i="17" s="1"/>
  <c r="Y373" i="17"/>
  <c r="Z373" i="17" s="1"/>
  <c r="Y372" i="17"/>
  <c r="Z372" i="17" s="1"/>
  <c r="Y371" i="17"/>
  <c r="Z371" i="17" s="1"/>
  <c r="Y365" i="17"/>
  <c r="Z365" i="17" s="1"/>
  <c r="Y364" i="17"/>
  <c r="Z364" i="17" s="1"/>
  <c r="Y363" i="17"/>
  <c r="Z363" i="17" s="1"/>
  <c r="Y362" i="17"/>
  <c r="Z362" i="17" s="1"/>
  <c r="Y361" i="17"/>
  <c r="Z361" i="17" s="1"/>
  <c r="Y360" i="17"/>
  <c r="Z360" i="17" s="1"/>
  <c r="Y359" i="17"/>
  <c r="Z359" i="17" s="1"/>
  <c r="Y358" i="17"/>
  <c r="Z358" i="17" s="1"/>
  <c r="Y357" i="17"/>
  <c r="Z357" i="17" s="1"/>
  <c r="Y356" i="17"/>
  <c r="Z356" i="17" s="1"/>
  <c r="Y355" i="17"/>
  <c r="Z355" i="17" s="1"/>
  <c r="Y354" i="17"/>
  <c r="Z354" i="17" s="1"/>
  <c r="Y353" i="17"/>
  <c r="Z353" i="17" s="1"/>
  <c r="Y352" i="17"/>
  <c r="Z352" i="17" s="1"/>
  <c r="Y351" i="17"/>
  <c r="Z351" i="17" s="1"/>
  <c r="Y350" i="17"/>
  <c r="Z350" i="17" s="1"/>
  <c r="Y349" i="17"/>
  <c r="Z349" i="17" s="1"/>
  <c r="Y347" i="17"/>
  <c r="Z347" i="17" s="1"/>
  <c r="Y346" i="17"/>
  <c r="Z346" i="17" s="1"/>
  <c r="Y345" i="17"/>
  <c r="Z345" i="17" s="1"/>
  <c r="Y344" i="17"/>
  <c r="Z344" i="17" s="1"/>
  <c r="Y343" i="17"/>
  <c r="Z343" i="17" s="1"/>
  <c r="Y342" i="17"/>
  <c r="Z342" i="17" s="1"/>
  <c r="Y341" i="17"/>
  <c r="Z341" i="17" s="1"/>
  <c r="Y340" i="17"/>
  <c r="Z340" i="17" s="1"/>
  <c r="Y339" i="17"/>
  <c r="Z339" i="17" s="1"/>
  <c r="Y338" i="17"/>
  <c r="Z338" i="17" s="1"/>
  <c r="Y337" i="17"/>
  <c r="Z337" i="17" s="1"/>
  <c r="Y336" i="17"/>
  <c r="Z336" i="17" s="1"/>
  <c r="Y335" i="17"/>
  <c r="Z335" i="17" s="1"/>
  <c r="Y334" i="17"/>
  <c r="Z334" i="17" s="1"/>
  <c r="Y333" i="17"/>
  <c r="Z333" i="17" s="1"/>
  <c r="Y332" i="17"/>
  <c r="Z332" i="17" s="1"/>
  <c r="Y331" i="17"/>
  <c r="Z331" i="17" s="1"/>
  <c r="Y330" i="17"/>
  <c r="Z330" i="17" s="1"/>
  <c r="Y329" i="17"/>
  <c r="Z329" i="17" s="1"/>
  <c r="Y328" i="17"/>
  <c r="Z328" i="17" s="1"/>
  <c r="Y327" i="17"/>
  <c r="Z327" i="17" s="1"/>
  <c r="Y326" i="17"/>
  <c r="Z326" i="17" s="1"/>
  <c r="Y325" i="17"/>
  <c r="Z325" i="17" s="1"/>
  <c r="Y324" i="17"/>
  <c r="Z324" i="17" s="1"/>
  <c r="Y323" i="17"/>
  <c r="Z323" i="17" s="1"/>
  <c r="Y322" i="17"/>
  <c r="Z322" i="17" s="1"/>
  <c r="Y321" i="17"/>
  <c r="Z321" i="17" s="1"/>
  <c r="Y320" i="17"/>
  <c r="Z320" i="17" s="1"/>
  <c r="Y319" i="17"/>
  <c r="Z319" i="17" s="1"/>
  <c r="Y318" i="17"/>
  <c r="Z318" i="17" s="1"/>
  <c r="Y316" i="17"/>
  <c r="Z316" i="17" s="1"/>
  <c r="Y315" i="17"/>
  <c r="Z315" i="17" s="1"/>
  <c r="Y314" i="17"/>
  <c r="Z314" i="17" s="1"/>
  <c r="Y313" i="17"/>
  <c r="Z313" i="17" s="1"/>
  <c r="Y312" i="17"/>
  <c r="Z312" i="17" s="1"/>
  <c r="Y311" i="17"/>
  <c r="Z311" i="17" s="1"/>
  <c r="Y310" i="17"/>
  <c r="Z310" i="17" s="1"/>
  <c r="Y309" i="17"/>
  <c r="Z309" i="17" s="1"/>
  <c r="Y307" i="17"/>
  <c r="Z307" i="17" s="1"/>
  <c r="Y306" i="17"/>
  <c r="Z306" i="17" s="1"/>
  <c r="Y305" i="17"/>
  <c r="Z305" i="17" s="1"/>
  <c r="Y304" i="17"/>
  <c r="Z304" i="17" s="1"/>
  <c r="Y303" i="17"/>
  <c r="Z303" i="17" s="1"/>
  <c r="Y302" i="17"/>
  <c r="Z302" i="17" s="1"/>
  <c r="Y301" i="17"/>
  <c r="Z301" i="17" s="1"/>
  <c r="Y300" i="17"/>
  <c r="Z300" i="17" s="1"/>
  <c r="Y298" i="17"/>
  <c r="Z298" i="17" s="1"/>
  <c r="Y297" i="17"/>
  <c r="Z297" i="17" s="1"/>
  <c r="Y296" i="17"/>
  <c r="Z296" i="17" s="1"/>
  <c r="Y295" i="17"/>
  <c r="Z295" i="17" s="1"/>
  <c r="Y294" i="17"/>
  <c r="Z294" i="17" s="1"/>
  <c r="Y293" i="17"/>
  <c r="Z293" i="17" s="1"/>
  <c r="Y292" i="17"/>
  <c r="Z292" i="17" s="1"/>
  <c r="Y291" i="17"/>
  <c r="Z291" i="17" s="1"/>
  <c r="Z289" i="17"/>
  <c r="Z288" i="17" s="1"/>
  <c r="Z287" i="17"/>
  <c r="Z286" i="17"/>
  <c r="Z285" i="17"/>
  <c r="Y283" i="17"/>
  <c r="Z283" i="17" s="1"/>
  <c r="Y282" i="17"/>
  <c r="Z282" i="17" s="1"/>
  <c r="Y281" i="17"/>
  <c r="Z281" i="17" s="1"/>
  <c r="Y279" i="17"/>
  <c r="Z279" i="17" s="1"/>
  <c r="Y278" i="17"/>
  <c r="Z278" i="17" s="1"/>
  <c r="Y277" i="17"/>
  <c r="Z277" i="17" s="1"/>
  <c r="Y276" i="17"/>
  <c r="Z276" i="17" s="1"/>
  <c r="Y275" i="17"/>
  <c r="Z275" i="17" s="1"/>
  <c r="Z273" i="17"/>
  <c r="Z272" i="17" s="1"/>
  <c r="Z271" i="17"/>
  <c r="Z270" i="17" s="1"/>
  <c r="Y269" i="17"/>
  <c r="Z269" i="17" s="1"/>
  <c r="Y268" i="17"/>
  <c r="Z268" i="17" s="1"/>
  <c r="Y267" i="17"/>
  <c r="Z267" i="17" s="1"/>
  <c r="Y266" i="17"/>
  <c r="Z266" i="17" s="1"/>
  <c r="Y265" i="17"/>
  <c r="Z265" i="17" s="1"/>
  <c r="Y264" i="17"/>
  <c r="Z264" i="17" s="1"/>
  <c r="Y263" i="17"/>
  <c r="Z263" i="17" s="1"/>
  <c r="Y262" i="17"/>
  <c r="Z262" i="17" s="1"/>
  <c r="Y261" i="17"/>
  <c r="Z261" i="17" s="1"/>
  <c r="Y260" i="17"/>
  <c r="Z260" i="17" s="1"/>
  <c r="Y259" i="17"/>
  <c r="Z259" i="17" s="1"/>
  <c r="Y258" i="17"/>
  <c r="Z258" i="17" s="1"/>
  <c r="Y257" i="17"/>
  <c r="Z257" i="17" s="1"/>
  <c r="Y256" i="17"/>
  <c r="Z256" i="17" s="1"/>
  <c r="Y255" i="17"/>
  <c r="Z255" i="17" s="1"/>
  <c r="Y254" i="17"/>
  <c r="Z254" i="17" s="1"/>
  <c r="Y253" i="17"/>
  <c r="Z253" i="17" s="1"/>
  <c r="Y252" i="17"/>
  <c r="Z252" i="17" s="1"/>
  <c r="Y251" i="17"/>
  <c r="Z251" i="17" s="1"/>
  <c r="Y250" i="17"/>
  <c r="Z250" i="17" s="1"/>
  <c r="Y249" i="17"/>
  <c r="Z249" i="17" s="1"/>
  <c r="Y248" i="17"/>
  <c r="Z248" i="17" s="1"/>
  <c r="Y247" i="17"/>
  <c r="Z247" i="17" s="1"/>
  <c r="Y246" i="17"/>
  <c r="Z246" i="17" s="1"/>
  <c r="Y245" i="17"/>
  <c r="Z245" i="17" s="1"/>
  <c r="Y244" i="17"/>
  <c r="Z244" i="17" s="1"/>
  <c r="Y242" i="17"/>
  <c r="Z242" i="17" s="1"/>
  <c r="Y241" i="17"/>
  <c r="Z241" i="17" s="1"/>
  <c r="Y240" i="17"/>
  <c r="Z240" i="17" s="1"/>
  <c r="Y239" i="17"/>
  <c r="Z239" i="17" s="1"/>
  <c r="Y238" i="17"/>
  <c r="Z238" i="17" s="1"/>
  <c r="Y237" i="17"/>
  <c r="Z237" i="17" s="1"/>
  <c r="Y236" i="17"/>
  <c r="Z236" i="17" s="1"/>
  <c r="Y235" i="17"/>
  <c r="Z235" i="17" s="1"/>
  <c r="Y234" i="17"/>
  <c r="Z234" i="17" s="1"/>
  <c r="Y233" i="17"/>
  <c r="Z233" i="17" s="1"/>
  <c r="Y232" i="17"/>
  <c r="Z232" i="17" s="1"/>
  <c r="Y231" i="17"/>
  <c r="Z231" i="17" s="1"/>
  <c r="Y230" i="17"/>
  <c r="Z230" i="17" s="1"/>
  <c r="Y229" i="17"/>
  <c r="Z229" i="17" s="1"/>
  <c r="Y228" i="17"/>
  <c r="Z228" i="17" s="1"/>
  <c r="Y226" i="17"/>
  <c r="Z226" i="17" s="1"/>
  <c r="Y225" i="17"/>
  <c r="Z225" i="17" s="1"/>
  <c r="Y224" i="17"/>
  <c r="Z224" i="17" s="1"/>
  <c r="Y223" i="17"/>
  <c r="Z223" i="17" s="1"/>
  <c r="Y222" i="17"/>
  <c r="Z222" i="17" s="1"/>
  <c r="Y221" i="17"/>
  <c r="Z221" i="17" s="1"/>
  <c r="Y220" i="17"/>
  <c r="Z220" i="17" s="1"/>
  <c r="Y219" i="17"/>
  <c r="Z219" i="17" s="1"/>
  <c r="Y218" i="17"/>
  <c r="Z218" i="17" s="1"/>
  <c r="Y217" i="17"/>
  <c r="Z217" i="17" s="1"/>
  <c r="Y216" i="17"/>
  <c r="Z216" i="17" s="1"/>
  <c r="Y215" i="17"/>
  <c r="Z215" i="17" s="1"/>
  <c r="Y214" i="17"/>
  <c r="Z214" i="17" s="1"/>
  <c r="Y213" i="17"/>
  <c r="Z213" i="17" s="1"/>
  <c r="Z208" i="17"/>
  <c r="Z186" i="17"/>
  <c r="AC199" i="17"/>
  <c r="AC198" i="17"/>
  <c r="AC197" i="17"/>
  <c r="AC196" i="17"/>
  <c r="AC195" i="17"/>
  <c r="AC194" i="17"/>
  <c r="AC193" i="17"/>
  <c r="AC192" i="17"/>
  <c r="AC191" i="17"/>
  <c r="AC190" i="17"/>
  <c r="AC189" i="17"/>
  <c r="AC188" i="17"/>
  <c r="AC187" i="17"/>
  <c r="Z207" i="17"/>
  <c r="Z205" i="17"/>
  <c r="Z204" i="17"/>
  <c r="Z203" i="17"/>
  <c r="Z202" i="17"/>
  <c r="AC172" i="17"/>
  <c r="AC181" i="17"/>
  <c r="AC180" i="17"/>
  <c r="AC179" i="17"/>
  <c r="AC178" i="17"/>
  <c r="AC177" i="17"/>
  <c r="AC176" i="17"/>
  <c r="AC175" i="17"/>
  <c r="AC174" i="17"/>
  <c r="AC173" i="17"/>
  <c r="AC166" i="17"/>
  <c r="AC162" i="17"/>
  <c r="AC163" i="17"/>
  <c r="AC164" i="17"/>
  <c r="AC165" i="17"/>
  <c r="Y166" i="17"/>
  <c r="Z166" i="17" s="1"/>
  <c r="Y165" i="17"/>
  <c r="Z165" i="17" s="1"/>
  <c r="Y164" i="17"/>
  <c r="Z164" i="17" s="1"/>
  <c r="Y163" i="17"/>
  <c r="Y162" i="17"/>
  <c r="Z162" i="17" s="1"/>
  <c r="Y161" i="17"/>
  <c r="Y160" i="17"/>
  <c r="Z160" i="17" s="1"/>
  <c r="Z154" i="17"/>
  <c r="Y153" i="17"/>
  <c r="Z153" i="17" s="1"/>
  <c r="Y152" i="17"/>
  <c r="Z152" i="17" s="1"/>
  <c r="Y151" i="17"/>
  <c r="Z151" i="17" s="1"/>
  <c r="Y150" i="17"/>
  <c r="Z150" i="17" s="1"/>
  <c r="Y145" i="17"/>
  <c r="Z145" i="17" s="1"/>
  <c r="Z144" i="17" s="1"/>
  <c r="Z137" i="17"/>
  <c r="Z136" i="17" s="1"/>
  <c r="Y142" i="17"/>
  <c r="Z142" i="17" s="1"/>
  <c r="Y141" i="17"/>
  <c r="Z141" i="17" s="1"/>
  <c r="Y140" i="17"/>
  <c r="Z140" i="17" s="1"/>
  <c r="Z128" i="17"/>
  <c r="Z127" i="17"/>
  <c r="Z126" i="17"/>
  <c r="Z125" i="17"/>
  <c r="Z124" i="17"/>
  <c r="Z123" i="17"/>
  <c r="Z122" i="17"/>
  <c r="Z116" i="17"/>
  <c r="Z115" i="17" s="1"/>
  <c r="Y132" i="17"/>
  <c r="Z132" i="17" s="1"/>
  <c r="Z131" i="17" s="1"/>
  <c r="Y130" i="17"/>
  <c r="Z130" i="17" s="1"/>
  <c r="Z129" i="17" s="1"/>
  <c r="Z114" i="17"/>
  <c r="Z113" i="17" s="1"/>
  <c r="Z112" i="17"/>
  <c r="Z111" i="17" s="1"/>
  <c r="Y110" i="17"/>
  <c r="Z110" i="17" s="1"/>
  <c r="Y109" i="17"/>
  <c r="Z109" i="17" s="1"/>
  <c r="Y108" i="17"/>
  <c r="Z108" i="17" s="1"/>
  <c r="Y107" i="17"/>
  <c r="Z107" i="17" s="1"/>
  <c r="Y106" i="17"/>
  <c r="Z106" i="17" s="1"/>
  <c r="Y105" i="17"/>
  <c r="Z105" i="17" s="1"/>
  <c r="Z102" i="17"/>
  <c r="Z101" i="17"/>
  <c r="Z100" i="17"/>
  <c r="Z99" i="17"/>
  <c r="Z98" i="17"/>
  <c r="Z91" i="17"/>
  <c r="Z92" i="17"/>
  <c r="Z93" i="17"/>
  <c r="Z94" i="17"/>
  <c r="Z95" i="17"/>
  <c r="Z90" i="17"/>
  <c r="Y75" i="17"/>
  <c r="Z75" i="17" s="1"/>
  <c r="Z85" i="17"/>
  <c r="Z84" i="17"/>
  <c r="Y79" i="17"/>
  <c r="Z79" i="17" s="1"/>
  <c r="Z78" i="17" s="1"/>
  <c r="Y77" i="17"/>
  <c r="Z77" i="17" s="1"/>
  <c r="Y76" i="17"/>
  <c r="Z76" i="17" s="1"/>
  <c r="Y73" i="17"/>
  <c r="Z73" i="17" s="1"/>
  <c r="Z72" i="17" s="1"/>
  <c r="Y67" i="17"/>
  <c r="Z67" i="17" s="1"/>
  <c r="Z69" i="17" s="1"/>
  <c r="Y62" i="17"/>
  <c r="Z62" i="17" s="1"/>
  <c r="Z61" i="17" s="1"/>
  <c r="Y60" i="17"/>
  <c r="Z60" i="17" s="1"/>
  <c r="Y59" i="17"/>
  <c r="Z59" i="17" s="1"/>
  <c r="Y51" i="17"/>
  <c r="Z51" i="17" s="1"/>
  <c r="Y52" i="17"/>
  <c r="Z52" i="17" s="1"/>
  <c r="Y53" i="17"/>
  <c r="Z53" i="17" s="1"/>
  <c r="Y54" i="17"/>
  <c r="Z54" i="17" s="1"/>
  <c r="Y55" i="17"/>
  <c r="Z55" i="17" s="1"/>
  <c r="Y56" i="17"/>
  <c r="Z56" i="17" s="1"/>
  <c r="Y57" i="17"/>
  <c r="Z57" i="17" s="1"/>
  <c r="Y50" i="17"/>
  <c r="Z50" i="17" s="1"/>
  <c r="Y40" i="17"/>
  <c r="Z40" i="17" s="1"/>
  <c r="Z39" i="17" s="1"/>
  <c r="Z38" i="17"/>
  <c r="Z37" i="17" s="1"/>
  <c r="AC159" i="17" l="1"/>
  <c r="AC168" i="17" s="1"/>
  <c r="Z416" i="17"/>
  <c r="AD417" i="17"/>
  <c r="AC171" i="17"/>
  <c r="AC183" i="17" s="1"/>
  <c r="Z284" i="17"/>
  <c r="Z58" i="17"/>
  <c r="Z206" i="17"/>
  <c r="Z201" i="17"/>
  <c r="Z274" i="17"/>
  <c r="AC523" i="17"/>
  <c r="Z149" i="17"/>
  <c r="Z402" i="17"/>
  <c r="Z478" i="17"/>
  <c r="Z469" i="17"/>
  <c r="Z139" i="17"/>
  <c r="Z146" i="17" s="1"/>
  <c r="Z391" i="17"/>
  <c r="Z243" i="17"/>
  <c r="Z49" i="17"/>
  <c r="Z446" i="17"/>
  <c r="Z227" i="17"/>
  <c r="Z280" i="17"/>
  <c r="Z308" i="17"/>
  <c r="Z317" i="17"/>
  <c r="Z483" i="17"/>
  <c r="Z212" i="17"/>
  <c r="Z290" i="17"/>
  <c r="Z299" i="17"/>
  <c r="Z348" i="17"/>
  <c r="Z370" i="17"/>
  <c r="Z383" i="17"/>
  <c r="Z440" i="17"/>
  <c r="Z431" i="17"/>
  <c r="AC524" i="17"/>
  <c r="Z121" i="17"/>
  <c r="Z133" i="17" s="1"/>
  <c r="Z83" i="17"/>
  <c r="Z86" i="17" s="1"/>
  <c r="Z521" i="17"/>
  <c r="Z526" i="17" s="1"/>
  <c r="Z496" i="17"/>
  <c r="Z163" i="17"/>
  <c r="Z161" i="17"/>
  <c r="Z42" i="17"/>
  <c r="Z74" i="17"/>
  <c r="Z80" i="17" s="1"/>
  <c r="Z104" i="17"/>
  <c r="Z97" i="17"/>
  <c r="Z89" i="17"/>
  <c r="Z64" i="17" l="1"/>
  <c r="Z209" i="17"/>
  <c r="Z118" i="17"/>
  <c r="Z156" i="17"/>
  <c r="Z367" i="17"/>
  <c r="AC521" i="17"/>
  <c r="AC526" i="17" s="1"/>
  <c r="Z506" i="17"/>
  <c r="Z466" i="17"/>
  <c r="Z159" i="17"/>
  <c r="Z168" i="17" s="1"/>
  <c r="U17" i="17" l="1"/>
  <c r="V17" i="17" s="1"/>
  <c r="U26" i="17"/>
  <c r="V26" i="17" s="1"/>
  <c r="U33" i="17"/>
  <c r="V33" i="17" s="1"/>
  <c r="U35" i="17"/>
  <c r="V35" i="17" s="1"/>
  <c r="U36" i="17"/>
  <c r="V36" i="17" s="1"/>
  <c r="U41" i="17"/>
  <c r="V41" i="17" s="1"/>
  <c r="U43" i="17"/>
  <c r="V43" i="17" s="1"/>
  <c r="U44" i="17"/>
  <c r="V44" i="17" s="1"/>
  <c r="U63" i="17"/>
  <c r="V63" i="17" s="1"/>
  <c r="U65" i="17"/>
  <c r="V65" i="17" s="1"/>
  <c r="U66" i="17"/>
  <c r="V66" i="17" s="1"/>
  <c r="U68" i="17"/>
  <c r="V68" i="17" s="1"/>
  <c r="U70" i="17"/>
  <c r="V70" i="17" s="1"/>
  <c r="U71" i="17"/>
  <c r="V71" i="17" s="1"/>
  <c r="U81" i="17"/>
  <c r="V81" i="17" s="1"/>
  <c r="U82" i="17"/>
  <c r="V82" i="17" s="1"/>
  <c r="U88" i="17"/>
  <c r="V88" i="17" s="1"/>
  <c r="U96" i="17"/>
  <c r="V96" i="17" s="1"/>
  <c r="U103" i="17"/>
  <c r="V103" i="17" s="1"/>
  <c r="U117" i="17"/>
  <c r="V117" i="17" s="1"/>
  <c r="U119" i="17"/>
  <c r="V119" i="17" s="1"/>
  <c r="U120" i="17"/>
  <c r="V120" i="17" s="1"/>
  <c r="U134" i="17"/>
  <c r="V134" i="17" s="1"/>
  <c r="U135" i="17"/>
  <c r="V135" i="17" s="1"/>
  <c r="U138" i="17"/>
  <c r="V138" i="17" s="1"/>
  <c r="U143" i="17"/>
  <c r="V143" i="17" s="1"/>
  <c r="U147" i="17"/>
  <c r="V147" i="17" s="1"/>
  <c r="U148" i="17"/>
  <c r="V148" i="17" s="1"/>
  <c r="U155" i="17"/>
  <c r="V155" i="17" s="1"/>
  <c r="U157" i="17"/>
  <c r="V157" i="17" s="1"/>
  <c r="U158" i="17"/>
  <c r="V158" i="17" s="1"/>
  <c r="U167" i="17"/>
  <c r="V167" i="17" s="1"/>
  <c r="U169" i="17"/>
  <c r="V169" i="17" s="1"/>
  <c r="U170" i="17"/>
  <c r="V170" i="17" s="1"/>
  <c r="U182" i="17"/>
  <c r="V182" i="17" s="1"/>
  <c r="U184" i="17"/>
  <c r="V184" i="17" s="1"/>
  <c r="U185" i="17"/>
  <c r="V185" i="17" s="1"/>
  <c r="U210" i="17"/>
  <c r="V210" i="17" s="1"/>
  <c r="U211" i="17"/>
  <c r="V211" i="17" s="1"/>
  <c r="U366" i="17"/>
  <c r="V366" i="17" s="1"/>
  <c r="U368" i="17"/>
  <c r="V368" i="17" s="1"/>
  <c r="U369" i="17"/>
  <c r="V369" i="17" s="1"/>
  <c r="U382" i="17"/>
  <c r="V382" i="17" s="1"/>
  <c r="U390" i="17"/>
  <c r="V390" i="17" s="1"/>
  <c r="U401" i="17"/>
  <c r="V401" i="17" s="1"/>
  <c r="U415" i="17"/>
  <c r="V415" i="17" s="1"/>
  <c r="U418" i="17"/>
  <c r="V418" i="17" s="1"/>
  <c r="U419" i="17"/>
  <c r="V419" i="17" s="1"/>
  <c r="U420" i="17"/>
  <c r="V420" i="17" s="1"/>
  <c r="U421" i="17"/>
  <c r="V421" i="17" s="1"/>
  <c r="U422" i="17"/>
  <c r="V422" i="17" s="1"/>
  <c r="U423" i="17"/>
  <c r="V423" i="17" s="1"/>
  <c r="U424" i="17"/>
  <c r="V424" i="17" s="1"/>
  <c r="U425" i="17"/>
  <c r="V425" i="17" s="1"/>
  <c r="U426" i="17"/>
  <c r="V426" i="17" s="1"/>
  <c r="U427" i="17"/>
  <c r="V427" i="17" s="1"/>
  <c r="U428" i="17"/>
  <c r="V428" i="17" s="1"/>
  <c r="U429" i="17"/>
  <c r="V429" i="17" s="1"/>
  <c r="U430" i="17"/>
  <c r="V430" i="17" s="1"/>
  <c r="U439" i="17"/>
  <c r="V439" i="17" s="1"/>
  <c r="U467" i="17"/>
  <c r="V467" i="17" s="1"/>
  <c r="U468" i="17"/>
  <c r="V468" i="17" s="1"/>
  <c r="U495" i="17"/>
  <c r="V495" i="17" s="1"/>
  <c r="U507" i="17"/>
  <c r="V507" i="17" s="1"/>
  <c r="U508" i="17"/>
  <c r="V508" i="17" s="1"/>
  <c r="U517" i="17"/>
  <c r="V517" i="17" s="1"/>
  <c r="U519" i="17"/>
  <c r="V519" i="17" s="1"/>
  <c r="U520" i="17"/>
  <c r="V520" i="17" s="1"/>
  <c r="U525" i="17"/>
  <c r="V525" i="17" s="1"/>
  <c r="U527" i="17"/>
  <c r="V527" i="17" s="1"/>
  <c r="U528" i="17"/>
  <c r="V528" i="17" s="1"/>
  <c r="U531" i="17"/>
  <c r="V531" i="17" s="1"/>
  <c r="U534" i="17"/>
  <c r="V534" i="17" s="1"/>
  <c r="U536" i="17"/>
  <c r="V536" i="17" s="1"/>
  <c r="U540" i="17"/>
  <c r="V540" i="17" s="1"/>
  <c r="U542" i="17"/>
  <c r="V542" i="17" s="1"/>
  <c r="U544" i="17"/>
  <c r="V544" i="17" s="1"/>
  <c r="U545" i="17"/>
  <c r="V545" i="17" s="1"/>
  <c r="U546" i="17"/>
  <c r="V546" i="17" s="1"/>
  <c r="U547" i="17"/>
  <c r="V547" i="17" s="1"/>
  <c r="U572" i="17"/>
  <c r="V572" i="17" s="1"/>
  <c r="R135" i="17"/>
  <c r="G277" i="17" l="1"/>
  <c r="AD277" i="17" s="1"/>
  <c r="G278" i="17"/>
  <c r="AD278" i="17" s="1"/>
  <c r="G279" i="17"/>
  <c r="AD279" i="17" s="1"/>
  <c r="U279" i="17" l="1"/>
  <c r="V279" i="17" s="1"/>
  <c r="U278" i="17"/>
  <c r="V278" i="17" s="1"/>
  <c r="U277" i="17"/>
  <c r="V277" i="17" s="1"/>
  <c r="G10" i="17"/>
  <c r="AD10" i="17" s="1"/>
  <c r="G11" i="17"/>
  <c r="AD11" i="17" s="1"/>
  <c r="G12" i="17"/>
  <c r="AD12" i="17" s="1"/>
  <c r="G13" i="17"/>
  <c r="AD13" i="17" s="1"/>
  <c r="G14" i="17"/>
  <c r="AD14" i="17" s="1"/>
  <c r="G24" i="17"/>
  <c r="AD24" i="17" s="1"/>
  <c r="G51" i="17"/>
  <c r="AD51" i="17" s="1"/>
  <c r="G52" i="17"/>
  <c r="AD52" i="17" s="1"/>
  <c r="G53" i="17"/>
  <c r="AD53" i="17" s="1"/>
  <c r="G54" i="17"/>
  <c r="AD54" i="17" s="1"/>
  <c r="G55" i="17"/>
  <c r="AD55" i="17" s="1"/>
  <c r="G56" i="17"/>
  <c r="AD56" i="17" s="1"/>
  <c r="G57" i="17"/>
  <c r="AD57" i="17" s="1"/>
  <c r="G60" i="17"/>
  <c r="AD60" i="17" s="1"/>
  <c r="G76" i="17"/>
  <c r="AD76" i="17" s="1"/>
  <c r="G77" i="17"/>
  <c r="AD77" i="17" s="1"/>
  <c r="G85" i="17"/>
  <c r="G99" i="17"/>
  <c r="AD99" i="17" s="1"/>
  <c r="G154" i="17"/>
  <c r="AD154" i="17" s="1"/>
  <c r="G175" i="17"/>
  <c r="AD175" i="17" s="1"/>
  <c r="U24" i="17" l="1"/>
  <c r="V24" i="17" s="1"/>
  <c r="U14" i="17"/>
  <c r="V14" i="17" s="1"/>
  <c r="U13" i="17"/>
  <c r="V13" i="17" s="1"/>
  <c r="U12" i="17"/>
  <c r="V12" i="17" s="1"/>
  <c r="U11" i="17"/>
  <c r="V11" i="17" s="1"/>
  <c r="U10" i="17"/>
  <c r="V10" i="17" s="1"/>
  <c r="U175" i="17"/>
  <c r="V175" i="17" s="1"/>
  <c r="U154" i="17"/>
  <c r="V154" i="17" s="1"/>
  <c r="U99" i="17"/>
  <c r="V99" i="17" s="1"/>
  <c r="U85" i="17"/>
  <c r="V85" i="17" s="1"/>
  <c r="U77" i="17"/>
  <c r="V77" i="17" s="1"/>
  <c r="U76" i="17"/>
  <c r="V76" i="17" s="1"/>
  <c r="U60" i="17"/>
  <c r="V60" i="17" s="1"/>
  <c r="U52" i="17"/>
  <c r="V52" i="17" s="1"/>
  <c r="U57" i="17"/>
  <c r="V57" i="17" s="1"/>
  <c r="U56" i="17"/>
  <c r="V56" i="17" s="1"/>
  <c r="U55" i="17"/>
  <c r="V55" i="17" s="1"/>
  <c r="U54" i="17"/>
  <c r="V54" i="17" s="1"/>
  <c r="U53" i="17"/>
  <c r="V53" i="17" s="1"/>
  <c r="U51" i="17"/>
  <c r="V51" i="17" s="1"/>
  <c r="R185" i="17"/>
  <c r="R531" i="17"/>
  <c r="R528" i="17"/>
  <c r="R527" i="17"/>
  <c r="R525" i="17"/>
  <c r="R520" i="17"/>
  <c r="R519" i="17"/>
  <c r="R517" i="17"/>
  <c r="R508" i="17"/>
  <c r="R507" i="17"/>
  <c r="R495" i="17"/>
  <c r="R468" i="17"/>
  <c r="R467" i="17"/>
  <c r="R439" i="17"/>
  <c r="R430" i="17"/>
  <c r="R429" i="17"/>
  <c r="R428" i="17"/>
  <c r="R427" i="17"/>
  <c r="R426" i="17"/>
  <c r="R425" i="17"/>
  <c r="R424" i="17"/>
  <c r="R423" i="17"/>
  <c r="R422" i="17"/>
  <c r="R421" i="17"/>
  <c r="R420" i="17"/>
  <c r="R419" i="17"/>
  <c r="R418" i="17"/>
  <c r="R415" i="17"/>
  <c r="R401" i="17"/>
  <c r="R390" i="17"/>
  <c r="R382" i="17"/>
  <c r="R369" i="17"/>
  <c r="R368" i="17"/>
  <c r="R366" i="17"/>
  <c r="R211" i="17"/>
  <c r="R210" i="17"/>
  <c r="R184" i="17"/>
  <c r="R170" i="17"/>
  <c r="R169" i="17"/>
  <c r="R167" i="17"/>
  <c r="R158" i="17"/>
  <c r="R157" i="17"/>
  <c r="R155" i="17"/>
  <c r="R148" i="17"/>
  <c r="R147" i="17"/>
  <c r="R143" i="17"/>
  <c r="R138" i="17"/>
  <c r="R134" i="17"/>
  <c r="R120" i="17"/>
  <c r="R119" i="17"/>
  <c r="R117" i="17"/>
  <c r="R103" i="17"/>
  <c r="R96" i="17"/>
  <c r="R88" i="17"/>
  <c r="R82" i="17"/>
  <c r="R81" i="17"/>
  <c r="R71" i="17"/>
  <c r="R70" i="17"/>
  <c r="R68" i="17"/>
  <c r="R66" i="17"/>
  <c r="R65" i="17"/>
  <c r="R63" i="17"/>
  <c r="R44" i="17"/>
  <c r="R43" i="17"/>
  <c r="R41" i="17"/>
  <c r="R36" i="17"/>
  <c r="R35" i="17"/>
  <c r="R33" i="17"/>
  <c r="R26" i="17"/>
  <c r="R17" i="17"/>
  <c r="F559" i="17"/>
  <c r="Y559" i="17" s="1"/>
  <c r="Z559" i="17" s="1"/>
  <c r="Z558" i="17" s="1"/>
  <c r="F557" i="17"/>
  <c r="Y557" i="17" s="1"/>
  <c r="Z557" i="17" s="1"/>
  <c r="F556" i="17"/>
  <c r="Y556" i="17" s="1"/>
  <c r="Z556" i="17" s="1"/>
  <c r="F554" i="17"/>
  <c r="Y554" i="17" s="1"/>
  <c r="Z554" i="17" s="1"/>
  <c r="F553" i="17"/>
  <c r="Y553" i="17" s="1"/>
  <c r="Z553" i="17" s="1"/>
  <c r="Z552" i="17" l="1"/>
  <c r="Z555" i="17"/>
  <c r="G559" i="17"/>
  <c r="AD559" i="17" s="1"/>
  <c r="G557" i="17"/>
  <c r="AD557" i="17" s="1"/>
  <c r="G556" i="17"/>
  <c r="AD556" i="17" s="1"/>
  <c r="G554" i="17"/>
  <c r="AD554" i="17" s="1"/>
  <c r="G553" i="17"/>
  <c r="AD553" i="17" s="1"/>
  <c r="G562" i="17"/>
  <c r="AD562" i="17" s="1"/>
  <c r="G561" i="17"/>
  <c r="AD561" i="17" s="1"/>
  <c r="G560" i="17"/>
  <c r="AD560" i="17" s="1"/>
  <c r="F551" i="17"/>
  <c r="F549" i="17"/>
  <c r="G549" i="17" l="1"/>
  <c r="Y549" i="17"/>
  <c r="Z549" i="17" s="1"/>
  <c r="Z548" i="17" s="1"/>
  <c r="Z574" i="17" s="1"/>
  <c r="Z576" i="17" s="1"/>
  <c r="Z578" i="17" s="1"/>
  <c r="G551" i="17"/>
  <c r="Y551" i="17"/>
  <c r="Z551" i="17" s="1"/>
  <c r="Z550" i="17" s="1"/>
  <c r="S560" i="17"/>
  <c r="H560" i="17"/>
  <c r="U560" i="17"/>
  <c r="V560" i="17" s="1"/>
  <c r="S561" i="17"/>
  <c r="H561" i="17"/>
  <c r="U561" i="17"/>
  <c r="V561" i="17" s="1"/>
  <c r="S562" i="17"/>
  <c r="H562" i="17"/>
  <c r="U562" i="17"/>
  <c r="V562" i="17" s="1"/>
  <c r="S553" i="17"/>
  <c r="U553" i="17"/>
  <c r="V553" i="17" s="1"/>
  <c r="H553" i="17"/>
  <c r="S554" i="17"/>
  <c r="H554" i="17"/>
  <c r="U554" i="17"/>
  <c r="V554" i="17" s="1"/>
  <c r="S556" i="17"/>
  <c r="H556" i="17"/>
  <c r="U556" i="17"/>
  <c r="V556" i="17" s="1"/>
  <c r="S557" i="17"/>
  <c r="H557" i="17"/>
  <c r="U557" i="17"/>
  <c r="V557" i="17" s="1"/>
  <c r="S559" i="17"/>
  <c r="H559" i="17"/>
  <c r="U559" i="17"/>
  <c r="V559" i="17" s="1"/>
  <c r="G558" i="17"/>
  <c r="AD558" i="17" s="1"/>
  <c r="G552" i="17"/>
  <c r="AD552" i="17" s="1"/>
  <c r="G555" i="17"/>
  <c r="AD555" i="17" s="1"/>
  <c r="H551" i="17" l="1"/>
  <c r="AD551" i="17"/>
  <c r="S549" i="17"/>
  <c r="AD549" i="17"/>
  <c r="S551" i="17"/>
  <c r="G548" i="17"/>
  <c r="AD548" i="17" s="1"/>
  <c r="U549" i="17"/>
  <c r="V549" i="17" s="1"/>
  <c r="H549" i="17"/>
  <c r="G550" i="17"/>
  <c r="AD550" i="17" s="1"/>
  <c r="U551" i="17"/>
  <c r="V551" i="17" s="1"/>
  <c r="U555" i="17"/>
  <c r="V555" i="17" s="1"/>
  <c r="U552" i="17"/>
  <c r="V552" i="17" s="1"/>
  <c r="U558" i="17"/>
  <c r="V558" i="17" s="1"/>
  <c r="B4" i="69"/>
  <c r="B2" i="69"/>
  <c r="G516" i="17"/>
  <c r="AD516" i="17" s="1"/>
  <c r="B9" i="68"/>
  <c r="D8" i="68"/>
  <c r="E8" i="68" s="1"/>
  <c r="B6" i="68"/>
  <c r="C2" i="67"/>
  <c r="C1048576" i="67" s="1"/>
  <c r="F3" i="67"/>
  <c r="B4" i="66"/>
  <c r="D130" i="5"/>
  <c r="D129" i="5"/>
  <c r="D128" i="5"/>
  <c r="D127" i="5"/>
  <c r="D126" i="5"/>
  <c r="D125" i="5"/>
  <c r="D124" i="5"/>
  <c r="D123" i="5"/>
  <c r="D130" i="3"/>
  <c r="D129" i="3"/>
  <c r="D128" i="3"/>
  <c r="D127" i="3"/>
  <c r="D126" i="3"/>
  <c r="D125" i="3"/>
  <c r="D124" i="3"/>
  <c r="D123" i="3"/>
  <c r="F515" i="17"/>
  <c r="G137" i="17"/>
  <c r="AD137" i="17" s="1"/>
  <c r="G15" i="17"/>
  <c r="AD15" i="17" s="1"/>
  <c r="G16" i="17"/>
  <c r="AD16" i="17" s="1"/>
  <c r="E30" i="17"/>
  <c r="G30" i="17" s="1"/>
  <c r="AD30" i="17" s="1"/>
  <c r="B3" i="63"/>
  <c r="B61" i="62"/>
  <c r="D61" i="62"/>
  <c r="B8" i="61"/>
  <c r="B10" i="61" s="1"/>
  <c r="D50" i="62"/>
  <c r="B33" i="62"/>
  <c r="D33" i="62" s="1"/>
  <c r="B34" i="62"/>
  <c r="D34" i="62" s="1"/>
  <c r="B22" i="62"/>
  <c r="D22" i="62" s="1"/>
  <c r="B19" i="62"/>
  <c r="D19" i="62" s="1"/>
  <c r="D70" i="62"/>
  <c r="D69" i="62"/>
  <c r="D68" i="62"/>
  <c r="D66" i="62"/>
  <c r="D64" i="62"/>
  <c r="D62" i="62"/>
  <c r="D60" i="62"/>
  <c r="D59" i="62"/>
  <c r="D58" i="62"/>
  <c r="D57" i="62"/>
  <c r="D56" i="62"/>
  <c r="D55" i="62"/>
  <c r="D54" i="62"/>
  <c r="D53" i="62"/>
  <c r="D52" i="62"/>
  <c r="D51" i="62"/>
  <c r="D49" i="62"/>
  <c r="D48" i="62"/>
  <c r="D44" i="62"/>
  <c r="D42" i="62"/>
  <c r="D41" i="62"/>
  <c r="D40" i="62"/>
  <c r="D39" i="62"/>
  <c r="D38" i="62"/>
  <c r="D37" i="62"/>
  <c r="D32" i="62"/>
  <c r="D31" i="62"/>
  <c r="D30" i="62"/>
  <c r="D29" i="62"/>
  <c r="D28" i="62"/>
  <c r="D27" i="62"/>
  <c r="D26" i="62"/>
  <c r="D25" i="62"/>
  <c r="D24" i="62"/>
  <c r="D23" i="62"/>
  <c r="D21" i="62"/>
  <c r="D20" i="62"/>
  <c r="D17" i="62"/>
  <c r="D16" i="62"/>
  <c r="D15" i="62"/>
  <c r="D14" i="62"/>
  <c r="D13" i="62"/>
  <c r="D12" i="62"/>
  <c r="D11" i="62"/>
  <c r="D10" i="62"/>
  <c r="D9" i="62"/>
  <c r="D8" i="62"/>
  <c r="D7" i="62"/>
  <c r="G142" i="17"/>
  <c r="AD142" i="17" s="1"/>
  <c r="G141" i="17"/>
  <c r="AD141" i="17" s="1"/>
  <c r="B5" i="60"/>
  <c r="C4" i="23"/>
  <c r="C4" i="58"/>
  <c r="B7" i="59"/>
  <c r="G110" i="17" s="1"/>
  <c r="AD110" i="17" s="1"/>
  <c r="A1" i="59"/>
  <c r="C9" i="57"/>
  <c r="C6" i="57"/>
  <c r="C7" i="57"/>
  <c r="C5" i="57"/>
  <c r="B3" i="57"/>
  <c r="D3" i="57" s="1"/>
  <c r="D9" i="57"/>
  <c r="D7" i="57"/>
  <c r="D6" i="57"/>
  <c r="D5" i="57"/>
  <c r="D1" i="57"/>
  <c r="C1" i="57"/>
  <c r="D9" i="56"/>
  <c r="D7" i="56"/>
  <c r="D6" i="56"/>
  <c r="D5" i="56"/>
  <c r="D3" i="56"/>
  <c r="D10" i="56" s="1"/>
  <c r="B4" i="55"/>
  <c r="B32" i="54"/>
  <c r="A1" i="54"/>
  <c r="D69" i="52"/>
  <c r="D68" i="52"/>
  <c r="D67" i="52"/>
  <c r="D65" i="52"/>
  <c r="D63" i="52"/>
  <c r="D61" i="52"/>
  <c r="D60" i="52"/>
  <c r="D59" i="52"/>
  <c r="D58" i="52"/>
  <c r="D57" i="52"/>
  <c r="D56" i="52"/>
  <c r="D55" i="52"/>
  <c r="D54" i="52"/>
  <c r="D53" i="52"/>
  <c r="D52" i="52"/>
  <c r="D51" i="52"/>
  <c r="D50" i="52"/>
  <c r="D49" i="52"/>
  <c r="D48" i="52"/>
  <c r="D44" i="52"/>
  <c r="D42" i="52"/>
  <c r="D41" i="52"/>
  <c r="D40" i="52"/>
  <c r="D39" i="52"/>
  <c r="D38" i="52"/>
  <c r="D37" i="52"/>
  <c r="D34" i="52"/>
  <c r="D33" i="52"/>
  <c r="D32" i="52"/>
  <c r="D31" i="52"/>
  <c r="D30" i="52"/>
  <c r="D29" i="52"/>
  <c r="D28" i="52"/>
  <c r="D27" i="52"/>
  <c r="D26" i="52"/>
  <c r="D25" i="52"/>
  <c r="D24" i="52"/>
  <c r="D23" i="52"/>
  <c r="D22" i="52"/>
  <c r="D21" i="52"/>
  <c r="D20" i="52"/>
  <c r="D19" i="52"/>
  <c r="D8" i="52"/>
  <c r="D9" i="52"/>
  <c r="D10" i="52"/>
  <c r="D11" i="52"/>
  <c r="D12" i="52"/>
  <c r="D13" i="52"/>
  <c r="D14" i="52"/>
  <c r="D15" i="52"/>
  <c r="D16" i="52"/>
  <c r="D17" i="52"/>
  <c r="D7" i="52"/>
  <c r="B21" i="51"/>
  <c r="E21" i="51" s="1"/>
  <c r="E19" i="51"/>
  <c r="E18" i="51"/>
  <c r="E17" i="51"/>
  <c r="E16" i="51"/>
  <c r="E15" i="51"/>
  <c r="E14" i="51"/>
  <c r="E13" i="51"/>
  <c r="E12" i="51"/>
  <c r="E11" i="51"/>
  <c r="A1" i="51"/>
  <c r="E9" i="51"/>
  <c r="E8" i="51"/>
  <c r="E7" i="51"/>
  <c r="E6" i="51"/>
  <c r="E5" i="51"/>
  <c r="E4" i="51"/>
  <c r="E3" i="51"/>
  <c r="B24" i="50"/>
  <c r="B28" i="50" s="1"/>
  <c r="A16" i="50"/>
  <c r="B9" i="50"/>
  <c r="B13" i="50" s="1"/>
  <c r="A1" i="50"/>
  <c r="D21" i="49"/>
  <c r="D18" i="49"/>
  <c r="D17" i="49"/>
  <c r="D16" i="49"/>
  <c r="D14" i="49"/>
  <c r="D13" i="49"/>
  <c r="D12" i="49"/>
  <c r="D11" i="49"/>
  <c r="D10" i="49"/>
  <c r="D7" i="49"/>
  <c r="D6" i="49"/>
  <c r="D5" i="49"/>
  <c r="D3" i="49"/>
  <c r="B20" i="49"/>
  <c r="D20" i="49" s="1"/>
  <c r="B19" i="49"/>
  <c r="D19" i="49" s="1"/>
  <c r="B9" i="49"/>
  <c r="D9" i="49" s="1"/>
  <c r="B8" i="49"/>
  <c r="D8" i="49" s="1"/>
  <c r="A16" i="48"/>
  <c r="B24" i="48"/>
  <c r="B28" i="48" s="1"/>
  <c r="B13" i="48"/>
  <c r="B9" i="48"/>
  <c r="A1" i="48"/>
  <c r="B20" i="47"/>
  <c r="D20" i="47" s="1"/>
  <c r="B19" i="47"/>
  <c r="B9" i="47"/>
  <c r="D9" i="47" s="1"/>
  <c r="B8" i="47"/>
  <c r="D8" i="47" s="1"/>
  <c r="D21" i="47"/>
  <c r="D19" i="47"/>
  <c r="D18" i="47"/>
  <c r="D17" i="47"/>
  <c r="D16" i="47"/>
  <c r="D14" i="47"/>
  <c r="D13" i="47"/>
  <c r="D12" i="47"/>
  <c r="D11" i="47"/>
  <c r="D10" i="47"/>
  <c r="D7" i="47"/>
  <c r="D6" i="47"/>
  <c r="D5" i="47"/>
  <c r="D3" i="47"/>
  <c r="B9" i="46"/>
  <c r="B2" i="46"/>
  <c r="D27" i="45"/>
  <c r="C27" i="45"/>
  <c r="B27" i="45"/>
  <c r="D2" i="45"/>
  <c r="C2" i="45"/>
  <c r="B2" i="45"/>
  <c r="D24" i="44"/>
  <c r="E24" i="44"/>
  <c r="B24" i="44"/>
  <c r="E2" i="44"/>
  <c r="D2" i="44"/>
  <c r="C2" i="44"/>
  <c r="B2" i="44"/>
  <c r="C24" i="44"/>
  <c r="F22" i="43"/>
  <c r="G22" i="43"/>
  <c r="H22" i="43"/>
  <c r="H2" i="43"/>
  <c r="G2" i="43"/>
  <c r="F2" i="43"/>
  <c r="C22" i="43"/>
  <c r="B22" i="43"/>
  <c r="D8" i="42"/>
  <c r="C7" i="42"/>
  <c r="B7" i="42"/>
  <c r="D6" i="42"/>
  <c r="D5" i="42"/>
  <c r="D4" i="42"/>
  <c r="D3" i="42"/>
  <c r="B16" i="40"/>
  <c r="G178" i="17"/>
  <c r="AD178" i="17" s="1"/>
  <c r="J4" i="40"/>
  <c r="J3" i="40"/>
  <c r="J5" i="40" s="1"/>
  <c r="B3" i="41"/>
  <c r="B2" i="41"/>
  <c r="D6" i="40"/>
  <c r="D12" i="40" s="1"/>
  <c r="E6" i="40"/>
  <c r="C6" i="40"/>
  <c r="B6" i="40"/>
  <c r="G482" i="17"/>
  <c r="AD482" i="17" s="1"/>
  <c r="G481" i="17"/>
  <c r="AD481" i="17" s="1"/>
  <c r="G480" i="17"/>
  <c r="AD480" i="17" s="1"/>
  <c r="G479" i="17"/>
  <c r="G473" i="17"/>
  <c r="AD473" i="17" s="1"/>
  <c r="G474" i="17"/>
  <c r="AD474" i="17" s="1"/>
  <c r="G475" i="17"/>
  <c r="AD475" i="17" s="1"/>
  <c r="G476" i="17"/>
  <c r="AD476" i="17" s="1"/>
  <c r="G477" i="17"/>
  <c r="AD477" i="17" s="1"/>
  <c r="G485" i="17"/>
  <c r="AD485" i="17" s="1"/>
  <c r="G486" i="17"/>
  <c r="AD486" i="17" s="1"/>
  <c r="G487" i="17"/>
  <c r="AD487" i="17" s="1"/>
  <c r="G488" i="17"/>
  <c r="AD488" i="17" s="1"/>
  <c r="G489" i="17"/>
  <c r="AD489" i="17" s="1"/>
  <c r="G490" i="17"/>
  <c r="AD490" i="17" s="1"/>
  <c r="G491" i="17"/>
  <c r="AD491" i="17" s="1"/>
  <c r="G492" i="17"/>
  <c r="AD492" i="17" s="1"/>
  <c r="G493" i="17"/>
  <c r="AD493" i="17" s="1"/>
  <c r="G494" i="17"/>
  <c r="AD494" i="17" s="1"/>
  <c r="G498" i="17"/>
  <c r="AD498" i="17" s="1"/>
  <c r="G499" i="17"/>
  <c r="AD499" i="17" s="1"/>
  <c r="G500" i="17"/>
  <c r="AD500" i="17" s="1"/>
  <c r="G501" i="17"/>
  <c r="AD501" i="17" s="1"/>
  <c r="G502" i="17"/>
  <c r="AD502" i="17" s="1"/>
  <c r="G503" i="17"/>
  <c r="AD503" i="17" s="1"/>
  <c r="G504" i="17"/>
  <c r="AD504" i="17" s="1"/>
  <c r="G505" i="17"/>
  <c r="AD505" i="17" s="1"/>
  <c r="K478" i="17"/>
  <c r="K483" i="17"/>
  <c r="K495" i="17"/>
  <c r="K496" i="17"/>
  <c r="L495" i="17"/>
  <c r="M495" i="17" s="1"/>
  <c r="L496" i="17"/>
  <c r="M496" i="17" s="1"/>
  <c r="L478" i="17"/>
  <c r="M478" i="17" s="1"/>
  <c r="L483" i="17"/>
  <c r="M483" i="17" s="1"/>
  <c r="J505" i="17"/>
  <c r="L505" i="17" s="1"/>
  <c r="M505" i="17" s="1"/>
  <c r="J504" i="17"/>
  <c r="L504" i="17" s="1"/>
  <c r="M504" i="17" s="1"/>
  <c r="J503" i="17"/>
  <c r="L503" i="17" s="1"/>
  <c r="M503" i="17" s="1"/>
  <c r="J502" i="17"/>
  <c r="L502" i="17" s="1"/>
  <c r="M502" i="17" s="1"/>
  <c r="J501" i="17"/>
  <c r="L501" i="17" s="1"/>
  <c r="M501" i="17" s="1"/>
  <c r="J500" i="17"/>
  <c r="L500" i="17" s="1"/>
  <c r="M500" i="17" s="1"/>
  <c r="J499" i="17"/>
  <c r="L499" i="17" s="1"/>
  <c r="M499" i="17" s="1"/>
  <c r="J498" i="17"/>
  <c r="K498" i="17" s="1"/>
  <c r="J497" i="17"/>
  <c r="K497" i="17" s="1"/>
  <c r="J494" i="17"/>
  <c r="K494" i="17" s="1"/>
  <c r="J493" i="17"/>
  <c r="L493" i="17" s="1"/>
  <c r="M493" i="17" s="1"/>
  <c r="J492" i="17"/>
  <c r="L492" i="17" s="1"/>
  <c r="M492" i="17" s="1"/>
  <c r="J491" i="17"/>
  <c r="L491" i="17" s="1"/>
  <c r="M491" i="17" s="1"/>
  <c r="J490" i="17"/>
  <c r="L490" i="17" s="1"/>
  <c r="M490" i="17" s="1"/>
  <c r="J489" i="17"/>
  <c r="L489" i="17" s="1"/>
  <c r="M489" i="17" s="1"/>
  <c r="J488" i="17"/>
  <c r="L488" i="17" s="1"/>
  <c r="M488" i="17" s="1"/>
  <c r="J487" i="17"/>
  <c r="L487" i="17" s="1"/>
  <c r="M487" i="17" s="1"/>
  <c r="J486" i="17"/>
  <c r="L486" i="17" s="1"/>
  <c r="M486" i="17" s="1"/>
  <c r="J485" i="17"/>
  <c r="L485" i="17" s="1"/>
  <c r="M485" i="17" s="1"/>
  <c r="J484" i="17"/>
  <c r="L484" i="17" s="1"/>
  <c r="M484" i="17" s="1"/>
  <c r="J482" i="17"/>
  <c r="L482" i="17" s="1"/>
  <c r="M482" i="17" s="1"/>
  <c r="J481" i="17"/>
  <c r="L481" i="17" s="1"/>
  <c r="M481" i="17" s="1"/>
  <c r="J480" i="17"/>
  <c r="L480" i="17" s="1"/>
  <c r="M480" i="17" s="1"/>
  <c r="J479" i="17"/>
  <c r="K479" i="17" s="1"/>
  <c r="J470" i="17"/>
  <c r="L470" i="17" s="1"/>
  <c r="M470" i="17" s="1"/>
  <c r="J471" i="17"/>
  <c r="L471" i="17" s="1"/>
  <c r="M471" i="17" s="1"/>
  <c r="J472" i="17"/>
  <c r="L472" i="17" s="1"/>
  <c r="M472" i="17" s="1"/>
  <c r="J473" i="17"/>
  <c r="L473" i="17" s="1"/>
  <c r="M473" i="17" s="1"/>
  <c r="J474" i="17"/>
  <c r="L474" i="17" s="1"/>
  <c r="M474" i="17" s="1"/>
  <c r="J475" i="17"/>
  <c r="L475" i="17" s="1"/>
  <c r="M475" i="17" s="1"/>
  <c r="J476" i="17"/>
  <c r="L476" i="17" s="1"/>
  <c r="M476" i="17" s="1"/>
  <c r="J477" i="17"/>
  <c r="K477" i="17" s="1"/>
  <c r="M467" i="17"/>
  <c r="M468" i="17" s="1"/>
  <c r="G497" i="17"/>
  <c r="AD574" i="17" l="1"/>
  <c r="G478" i="17"/>
  <c r="AD478" i="17" s="1"/>
  <c r="AD479" i="17"/>
  <c r="U548" i="17"/>
  <c r="V548" i="17" s="1"/>
  <c r="G574" i="17"/>
  <c r="G496" i="17"/>
  <c r="AD496" i="17" s="1"/>
  <c r="AD497" i="17"/>
  <c r="U550" i="17"/>
  <c r="V550" i="17" s="1"/>
  <c r="Y515" i="17"/>
  <c r="Z515" i="17" s="1"/>
  <c r="Z509" i="17" s="1"/>
  <c r="Z518" i="17" s="1"/>
  <c r="Z535" i="17" s="1"/>
  <c r="AC515" i="17"/>
  <c r="AC509" i="17" s="1"/>
  <c r="AC518" i="17" s="1"/>
  <c r="R498" i="17"/>
  <c r="U498" i="17"/>
  <c r="V498" i="17" s="1"/>
  <c r="R486" i="17"/>
  <c r="U486" i="17"/>
  <c r="V486" i="17" s="1"/>
  <c r="R485" i="17"/>
  <c r="U485" i="17"/>
  <c r="V485" i="17" s="1"/>
  <c r="R477" i="17"/>
  <c r="U477" i="17"/>
  <c r="V477" i="17" s="1"/>
  <c r="R476" i="17"/>
  <c r="U476" i="17"/>
  <c r="V476" i="17" s="1"/>
  <c r="R505" i="17"/>
  <c r="U505" i="17"/>
  <c r="V505" i="17" s="1"/>
  <c r="R475" i="17"/>
  <c r="U475" i="17"/>
  <c r="V475" i="17" s="1"/>
  <c r="R504" i="17"/>
  <c r="U504" i="17"/>
  <c r="V504" i="17" s="1"/>
  <c r="R474" i="17"/>
  <c r="U474" i="17"/>
  <c r="V474" i="17" s="1"/>
  <c r="U178" i="17"/>
  <c r="V178" i="17" s="1"/>
  <c r="R503" i="17"/>
  <c r="U503" i="17"/>
  <c r="V503" i="17" s="1"/>
  <c r="R473" i="17"/>
  <c r="U473" i="17"/>
  <c r="V473" i="17" s="1"/>
  <c r="R516" i="17"/>
  <c r="U516" i="17"/>
  <c r="V516" i="17" s="1"/>
  <c r="R502" i="17"/>
  <c r="U502" i="17"/>
  <c r="V502" i="17" s="1"/>
  <c r="R501" i="17"/>
  <c r="U501" i="17"/>
  <c r="V501" i="17" s="1"/>
  <c r="R500" i="17"/>
  <c r="U500" i="17"/>
  <c r="V500" i="17" s="1"/>
  <c r="R499" i="17"/>
  <c r="U499" i="17"/>
  <c r="V499" i="17" s="1"/>
  <c r="R494" i="17"/>
  <c r="U494" i="17"/>
  <c r="V494" i="17" s="1"/>
  <c r="R479" i="17"/>
  <c r="U479" i="17"/>
  <c r="V479" i="17" s="1"/>
  <c r="R493" i="17"/>
  <c r="U493" i="17"/>
  <c r="V493" i="17" s="1"/>
  <c r="R480" i="17"/>
  <c r="U480" i="17"/>
  <c r="V480" i="17" s="1"/>
  <c r="U110" i="17"/>
  <c r="V110" i="17" s="1"/>
  <c r="R492" i="17"/>
  <c r="U492" i="17"/>
  <c r="V492" i="17" s="1"/>
  <c r="R481" i="17"/>
  <c r="U481" i="17"/>
  <c r="V481" i="17" s="1"/>
  <c r="R497" i="17"/>
  <c r="U497" i="17"/>
  <c r="V497" i="17" s="1"/>
  <c r="R491" i="17"/>
  <c r="U491" i="17"/>
  <c r="V491" i="17" s="1"/>
  <c r="R482" i="17"/>
  <c r="U482" i="17"/>
  <c r="V482" i="17" s="1"/>
  <c r="R490" i="17"/>
  <c r="U490" i="17"/>
  <c r="V490" i="17" s="1"/>
  <c r="R489" i="17"/>
  <c r="U489" i="17"/>
  <c r="V489" i="17" s="1"/>
  <c r="U30" i="17"/>
  <c r="V30" i="17" s="1"/>
  <c r="R488" i="17"/>
  <c r="U488" i="17"/>
  <c r="V488" i="17" s="1"/>
  <c r="U141" i="17"/>
  <c r="V141" i="17" s="1"/>
  <c r="U16" i="17"/>
  <c r="V16" i="17" s="1"/>
  <c r="R487" i="17"/>
  <c r="U487" i="17"/>
  <c r="V487" i="17" s="1"/>
  <c r="U142" i="17"/>
  <c r="V142" i="17" s="1"/>
  <c r="U15" i="17"/>
  <c r="V15" i="17" s="1"/>
  <c r="U137" i="17"/>
  <c r="V137" i="17" s="1"/>
  <c r="G276" i="17"/>
  <c r="AD276" i="17" s="1"/>
  <c r="G173" i="17"/>
  <c r="AD173" i="17" s="1"/>
  <c r="D11" i="57"/>
  <c r="G287" i="17"/>
  <c r="AD287" i="17" s="1"/>
  <c r="B5" i="63"/>
  <c r="D5" i="63" s="1"/>
  <c r="E32" i="17" s="1"/>
  <c r="G32" i="17" s="1"/>
  <c r="AD32" i="17" s="1"/>
  <c r="R277" i="17"/>
  <c r="G286" i="17"/>
  <c r="AD286" i="17" s="1"/>
  <c r="B7" i="69"/>
  <c r="B5" i="41"/>
  <c r="E22" i="51"/>
  <c r="D22" i="47"/>
  <c r="D70" i="52"/>
  <c r="G188" i="17" s="1"/>
  <c r="AD188" i="17" s="1"/>
  <c r="B17" i="40"/>
  <c r="G176" i="17" s="1"/>
  <c r="AD176" i="17" s="1"/>
  <c r="G523" i="17"/>
  <c r="AD523" i="17" s="1"/>
  <c r="G187" i="17"/>
  <c r="AD187" i="17" s="1"/>
  <c r="E28" i="17"/>
  <c r="E29" i="17"/>
  <c r="G29" i="17" s="1"/>
  <c r="AD29" i="17" s="1"/>
  <c r="B14" i="40"/>
  <c r="G285" i="17"/>
  <c r="AD285" i="17" s="1"/>
  <c r="C6" i="68"/>
  <c r="F6" i="68" s="1"/>
  <c r="D7" i="42"/>
  <c r="G207" i="17"/>
  <c r="AD207" i="17" s="1"/>
  <c r="C3" i="57"/>
  <c r="C11" i="57" s="1"/>
  <c r="G289" i="17"/>
  <c r="AD289" i="17" s="1"/>
  <c r="G208" i="17"/>
  <c r="AD208" i="17" s="1"/>
  <c r="G136" i="17"/>
  <c r="R137" i="17"/>
  <c r="R178" i="17"/>
  <c r="G202" i="17"/>
  <c r="AD202" i="17" s="1"/>
  <c r="G191" i="17"/>
  <c r="AD191" i="17" s="1"/>
  <c r="G282" i="17"/>
  <c r="AD282" i="17" s="1"/>
  <c r="F2" i="67"/>
  <c r="F4" i="67" s="1"/>
  <c r="G204" i="17"/>
  <c r="AD204" i="17" s="1"/>
  <c r="G140" i="17"/>
  <c r="AD140" i="17" s="1"/>
  <c r="R142" i="17"/>
  <c r="G275" i="17"/>
  <c r="AD275" i="17" s="1"/>
  <c r="G283" i="17"/>
  <c r="AD283" i="17" s="1"/>
  <c r="R110" i="17"/>
  <c r="G205" i="17"/>
  <c r="AD205" i="17" s="1"/>
  <c r="R279" i="17"/>
  <c r="G281" i="17"/>
  <c r="AD281" i="17" s="1"/>
  <c r="R278" i="17"/>
  <c r="G273" i="17"/>
  <c r="AD273" i="17" s="1"/>
  <c r="G145" i="17"/>
  <c r="AD145" i="17" s="1"/>
  <c r="R141" i="17"/>
  <c r="D71" i="62"/>
  <c r="G524" i="17"/>
  <c r="AD524" i="17" s="1"/>
  <c r="D22" i="49"/>
  <c r="G203" i="17"/>
  <c r="AD203" i="17" s="1"/>
  <c r="C10" i="40"/>
  <c r="B11" i="40"/>
  <c r="D8" i="40"/>
  <c r="K486" i="17"/>
  <c r="L494" i="17"/>
  <c r="M494" i="17" s="1"/>
  <c r="L479" i="17"/>
  <c r="M479" i="17" s="1"/>
  <c r="L498" i="17"/>
  <c r="M498" i="17" s="1"/>
  <c r="K487" i="17"/>
  <c r="K504" i="17"/>
  <c r="K485" i="17"/>
  <c r="K470" i="17"/>
  <c r="L477" i="17"/>
  <c r="M477" i="17" s="1"/>
  <c r="K503" i="17"/>
  <c r="K499" i="17"/>
  <c r="L497" i="17"/>
  <c r="M497" i="17" s="1"/>
  <c r="K501" i="17"/>
  <c r="K493" i="17"/>
  <c r="K484" i="17"/>
  <c r="K476" i="17"/>
  <c r="K500" i="17"/>
  <c r="K492" i="17"/>
  <c r="K475" i="17"/>
  <c r="K502" i="17"/>
  <c r="K489" i="17"/>
  <c r="K481" i="17"/>
  <c r="K473" i="17"/>
  <c r="K471" i="17"/>
  <c r="K490" i="17"/>
  <c r="K482" i="17"/>
  <c r="K474" i="17"/>
  <c r="K472" i="17"/>
  <c r="K505" i="17"/>
  <c r="K488" i="17"/>
  <c r="K480" i="17"/>
  <c r="K491" i="17"/>
  <c r="M465" i="17"/>
  <c r="M466" i="17"/>
  <c r="G445" i="17"/>
  <c r="AD445" i="17" s="1"/>
  <c r="G444" i="17"/>
  <c r="AD444" i="17" s="1"/>
  <c r="G443" i="17"/>
  <c r="AD443" i="17" s="1"/>
  <c r="G442" i="17"/>
  <c r="AD442" i="17" s="1"/>
  <c r="G441" i="17"/>
  <c r="G438" i="17"/>
  <c r="AD438" i="17" s="1"/>
  <c r="G437" i="17"/>
  <c r="AD437" i="17" s="1"/>
  <c r="G436" i="17"/>
  <c r="AD436" i="17" s="1"/>
  <c r="G435" i="17"/>
  <c r="AD435" i="17" s="1"/>
  <c r="G434" i="17"/>
  <c r="AD434" i="17" s="1"/>
  <c r="G433" i="17"/>
  <c r="AD433" i="17" s="1"/>
  <c r="G432" i="17"/>
  <c r="G414" i="17"/>
  <c r="AD414" i="17" s="1"/>
  <c r="G413" i="17"/>
  <c r="AD413" i="17" s="1"/>
  <c r="G412" i="17"/>
  <c r="AD412" i="17" s="1"/>
  <c r="G411" i="17"/>
  <c r="AD411" i="17" s="1"/>
  <c r="G410" i="17"/>
  <c r="AD410" i="17" s="1"/>
  <c r="G409" i="17"/>
  <c r="AD409" i="17" s="1"/>
  <c r="G408" i="17"/>
  <c r="AD408" i="17" s="1"/>
  <c r="G407" i="17"/>
  <c r="AD407" i="17" s="1"/>
  <c r="G406" i="17"/>
  <c r="AD406" i="17" s="1"/>
  <c r="G405" i="17"/>
  <c r="AD405" i="17" s="1"/>
  <c r="G404" i="17"/>
  <c r="AD404" i="17" s="1"/>
  <c r="G403" i="17"/>
  <c r="AD403" i="17" s="1"/>
  <c r="G393" i="17"/>
  <c r="AD393" i="17" s="1"/>
  <c r="G394" i="17"/>
  <c r="AD394" i="17" s="1"/>
  <c r="G395" i="17"/>
  <c r="AD395" i="17" s="1"/>
  <c r="G396" i="17"/>
  <c r="AD396" i="17" s="1"/>
  <c r="G397" i="17"/>
  <c r="AD397" i="17" s="1"/>
  <c r="G398" i="17"/>
  <c r="AD398" i="17" s="1"/>
  <c r="G399" i="17"/>
  <c r="AD399" i="17" s="1"/>
  <c r="G400" i="17"/>
  <c r="AD400" i="17" s="1"/>
  <c r="G392" i="17"/>
  <c r="G385" i="17"/>
  <c r="AD385" i="17" s="1"/>
  <c r="G386" i="17"/>
  <c r="AD386" i="17" s="1"/>
  <c r="G387" i="17"/>
  <c r="AD387" i="17" s="1"/>
  <c r="G388" i="17"/>
  <c r="AD388" i="17" s="1"/>
  <c r="G389" i="17"/>
  <c r="AD389" i="17" s="1"/>
  <c r="G384" i="17"/>
  <c r="G465" i="17"/>
  <c r="AD465" i="17" s="1"/>
  <c r="G464" i="17"/>
  <c r="AD464" i="17" s="1"/>
  <c r="G463" i="17"/>
  <c r="AD463" i="17" s="1"/>
  <c r="G462" i="17"/>
  <c r="AD462" i="17" s="1"/>
  <c r="G461" i="17"/>
  <c r="AD461" i="17" s="1"/>
  <c r="G460" i="17"/>
  <c r="AD460" i="17" s="1"/>
  <c r="G459" i="17"/>
  <c r="AD459" i="17" s="1"/>
  <c r="G458" i="17"/>
  <c r="AD458" i="17" s="1"/>
  <c r="G457" i="17"/>
  <c r="AD457" i="17" s="1"/>
  <c r="G456" i="17"/>
  <c r="AD456" i="17" s="1"/>
  <c r="G455" i="17"/>
  <c r="AD455" i="17" s="1"/>
  <c r="G454" i="17"/>
  <c r="AD454" i="17" s="1"/>
  <c r="G453" i="17"/>
  <c r="AD453" i="17" s="1"/>
  <c r="G452" i="17"/>
  <c r="AD452" i="17" s="1"/>
  <c r="G451" i="17"/>
  <c r="AD451" i="17" s="1"/>
  <c r="G450" i="17"/>
  <c r="AD450" i="17" s="1"/>
  <c r="G449" i="17"/>
  <c r="AD449" i="17" s="1"/>
  <c r="G448" i="17"/>
  <c r="AD448" i="17" s="1"/>
  <c r="G447" i="17"/>
  <c r="G378" i="17"/>
  <c r="AD378" i="17" s="1"/>
  <c r="G379" i="17"/>
  <c r="AD379" i="17" s="1"/>
  <c r="G380" i="17"/>
  <c r="AD380" i="17" s="1"/>
  <c r="G381" i="17"/>
  <c r="AD381" i="17" s="1"/>
  <c r="G377" i="17"/>
  <c r="AD377" i="17" s="1"/>
  <c r="G372" i="17"/>
  <c r="AD372" i="17" s="1"/>
  <c r="G373" i="17"/>
  <c r="AD373" i="17" s="1"/>
  <c r="G374" i="17"/>
  <c r="AD374" i="17" s="1"/>
  <c r="G375" i="17"/>
  <c r="AD375" i="17" s="1"/>
  <c r="G376" i="17"/>
  <c r="AD376" i="17" s="1"/>
  <c r="Z539" i="17" l="1"/>
  <c r="Z537" i="17"/>
  <c r="G576" i="17"/>
  <c r="G578" i="17" s="1"/>
  <c r="AD447" i="17"/>
  <c r="G446" i="17"/>
  <c r="AD446" i="17" s="1"/>
  <c r="G391" i="17"/>
  <c r="AD391" i="17" s="1"/>
  <c r="AD392" i="17"/>
  <c r="G383" i="17"/>
  <c r="AD383" i="17" s="1"/>
  <c r="AD384" i="17"/>
  <c r="AD441" i="17"/>
  <c r="G440" i="17"/>
  <c r="AD440" i="17" s="1"/>
  <c r="AD432" i="17"/>
  <c r="G431" i="17"/>
  <c r="AD431" i="17" s="1"/>
  <c r="AD136" i="17"/>
  <c r="R389" i="17"/>
  <c r="U389" i="17"/>
  <c r="V389" i="17" s="1"/>
  <c r="U173" i="17"/>
  <c r="V173" i="17" s="1"/>
  <c r="R448" i="17"/>
  <c r="U448" i="17"/>
  <c r="V448" i="17" s="1"/>
  <c r="R388" i="17"/>
  <c r="U388" i="17"/>
  <c r="V388" i="17" s="1"/>
  <c r="R283" i="17"/>
  <c r="U283" i="17"/>
  <c r="V283" i="17" s="1"/>
  <c r="R387" i="17"/>
  <c r="U387" i="17"/>
  <c r="V387" i="17" s="1"/>
  <c r="R411" i="17"/>
  <c r="U411" i="17"/>
  <c r="V411" i="17" s="1"/>
  <c r="R275" i="17"/>
  <c r="U275" i="17"/>
  <c r="V275" i="17" s="1"/>
  <c r="U29" i="17"/>
  <c r="V29" i="17" s="1"/>
  <c r="R386" i="17"/>
  <c r="U386" i="17"/>
  <c r="V386" i="17" s="1"/>
  <c r="R385" i="17"/>
  <c r="U385" i="17"/>
  <c r="V385" i="17" s="1"/>
  <c r="R413" i="17"/>
  <c r="U413" i="17"/>
  <c r="V413" i="17" s="1"/>
  <c r="R392" i="17"/>
  <c r="U392" i="17"/>
  <c r="V392" i="17" s="1"/>
  <c r="R414" i="17"/>
  <c r="U414" i="17"/>
  <c r="V414" i="17" s="1"/>
  <c r="R204" i="17"/>
  <c r="U204" i="17"/>
  <c r="V204" i="17" s="1"/>
  <c r="R399" i="17"/>
  <c r="U399" i="17"/>
  <c r="V399" i="17" s="1"/>
  <c r="R433" i="17"/>
  <c r="U433" i="17"/>
  <c r="V433" i="17" s="1"/>
  <c r="R203" i="17"/>
  <c r="U203" i="17"/>
  <c r="V203" i="17" s="1"/>
  <c r="R282" i="17"/>
  <c r="U282" i="17"/>
  <c r="V282" i="17" s="1"/>
  <c r="R455" i="17"/>
  <c r="U455" i="17"/>
  <c r="V455" i="17" s="1"/>
  <c r="R434" i="17"/>
  <c r="U434" i="17"/>
  <c r="V434" i="17" s="1"/>
  <c r="R191" i="17"/>
  <c r="U191" i="17"/>
  <c r="V191" i="17" s="1"/>
  <c r="R376" i="17"/>
  <c r="U376" i="17"/>
  <c r="V376" i="17" s="1"/>
  <c r="R456" i="17"/>
  <c r="U456" i="17"/>
  <c r="V456" i="17" s="1"/>
  <c r="R435" i="17"/>
  <c r="U435" i="17"/>
  <c r="V435" i="17" s="1"/>
  <c r="R375" i="17"/>
  <c r="U375" i="17"/>
  <c r="V375" i="17" s="1"/>
  <c r="R457" i="17"/>
  <c r="U457" i="17"/>
  <c r="V457" i="17" s="1"/>
  <c r="R396" i="17"/>
  <c r="U396" i="17"/>
  <c r="V396" i="17" s="1"/>
  <c r="R496" i="17"/>
  <c r="U496" i="17"/>
  <c r="V496" i="17" s="1"/>
  <c r="R374" i="17"/>
  <c r="U374" i="17"/>
  <c r="V374" i="17" s="1"/>
  <c r="R438" i="17"/>
  <c r="U438" i="17"/>
  <c r="V438" i="17" s="1"/>
  <c r="R460" i="17"/>
  <c r="U460" i="17"/>
  <c r="V460" i="17" s="1"/>
  <c r="R441" i="17"/>
  <c r="U441" i="17"/>
  <c r="V441" i="17" s="1"/>
  <c r="R286" i="17"/>
  <c r="U286" i="17"/>
  <c r="V286" i="17" s="1"/>
  <c r="R461" i="17"/>
  <c r="U461" i="17"/>
  <c r="V461" i="17" s="1"/>
  <c r="R403" i="17"/>
  <c r="U403" i="17"/>
  <c r="V403" i="17" s="1"/>
  <c r="R442" i="17"/>
  <c r="U442" i="17"/>
  <c r="V442" i="17" s="1"/>
  <c r="U273" i="17"/>
  <c r="V273" i="17" s="1"/>
  <c r="R462" i="17"/>
  <c r="U462" i="17"/>
  <c r="V462" i="17" s="1"/>
  <c r="R404" i="17"/>
  <c r="U404" i="17"/>
  <c r="V404" i="17" s="1"/>
  <c r="R443" i="17"/>
  <c r="U443" i="17"/>
  <c r="V443" i="17" s="1"/>
  <c r="U32" i="17"/>
  <c r="V32" i="17" s="1"/>
  <c r="R463" i="17"/>
  <c r="U463" i="17"/>
  <c r="V463" i="17" s="1"/>
  <c r="R405" i="17"/>
  <c r="U405" i="17"/>
  <c r="V405" i="17" s="1"/>
  <c r="R444" i="17"/>
  <c r="U444" i="17"/>
  <c r="V444" i="17" s="1"/>
  <c r="R478" i="17"/>
  <c r="U478" i="17"/>
  <c r="V478" i="17" s="1"/>
  <c r="R281" i="17"/>
  <c r="U281" i="17"/>
  <c r="V281" i="17" s="1"/>
  <c r="R379" i="17"/>
  <c r="U379" i="17"/>
  <c r="V379" i="17" s="1"/>
  <c r="R464" i="17"/>
  <c r="U464" i="17"/>
  <c r="V464" i="17" s="1"/>
  <c r="R445" i="17"/>
  <c r="U445" i="17"/>
  <c r="V445" i="17" s="1"/>
  <c r="R447" i="17"/>
  <c r="U447" i="17"/>
  <c r="V447" i="17" s="1"/>
  <c r="R409" i="17"/>
  <c r="U409" i="17"/>
  <c r="V409" i="17" s="1"/>
  <c r="R285" i="17"/>
  <c r="U285" i="17"/>
  <c r="V285" i="17" s="1"/>
  <c r="R410" i="17"/>
  <c r="U410" i="17"/>
  <c r="V410" i="17" s="1"/>
  <c r="R449" i="17"/>
  <c r="U449" i="17"/>
  <c r="V449" i="17" s="1"/>
  <c r="U276" i="17"/>
  <c r="V276" i="17" s="1"/>
  <c r="R450" i="17"/>
  <c r="U450" i="17"/>
  <c r="V450" i="17" s="1"/>
  <c r="R412" i="17"/>
  <c r="U412" i="17"/>
  <c r="V412" i="17" s="1"/>
  <c r="R451" i="17"/>
  <c r="U451" i="17"/>
  <c r="V451" i="17" s="1"/>
  <c r="R140" i="17"/>
  <c r="U140" i="17"/>
  <c r="V140" i="17" s="1"/>
  <c r="R452" i="17"/>
  <c r="U452" i="17"/>
  <c r="V452" i="17" s="1"/>
  <c r="R187" i="17"/>
  <c r="U187" i="17"/>
  <c r="V187" i="17" s="1"/>
  <c r="R453" i="17"/>
  <c r="U453" i="17"/>
  <c r="V453" i="17" s="1"/>
  <c r="R400" i="17"/>
  <c r="U400" i="17"/>
  <c r="V400" i="17" s="1"/>
  <c r="R432" i="17"/>
  <c r="U432" i="17"/>
  <c r="V432" i="17" s="1"/>
  <c r="R523" i="17"/>
  <c r="U523" i="17"/>
  <c r="V523" i="17" s="1"/>
  <c r="R454" i="17"/>
  <c r="U454" i="17"/>
  <c r="V454" i="17" s="1"/>
  <c r="R176" i="17"/>
  <c r="U176" i="17"/>
  <c r="V176" i="17" s="1"/>
  <c r="R398" i="17"/>
  <c r="U398" i="17"/>
  <c r="V398" i="17" s="1"/>
  <c r="R188" i="17"/>
  <c r="U188" i="17"/>
  <c r="V188" i="17" s="1"/>
  <c r="R397" i="17"/>
  <c r="U397" i="17"/>
  <c r="V397" i="17" s="1"/>
  <c r="U524" i="17"/>
  <c r="V524" i="17" s="1"/>
  <c r="R202" i="17"/>
  <c r="U202" i="17"/>
  <c r="V202" i="17" s="1"/>
  <c r="R436" i="17"/>
  <c r="U436" i="17"/>
  <c r="V436" i="17" s="1"/>
  <c r="R458" i="17"/>
  <c r="U458" i="17"/>
  <c r="V458" i="17" s="1"/>
  <c r="R395" i="17"/>
  <c r="U395" i="17"/>
  <c r="V395" i="17" s="1"/>
  <c r="R437" i="17"/>
  <c r="U437" i="17"/>
  <c r="V437" i="17" s="1"/>
  <c r="R373" i="17"/>
  <c r="U373" i="17"/>
  <c r="V373" i="17" s="1"/>
  <c r="R459" i="17"/>
  <c r="U459" i="17"/>
  <c r="V459" i="17" s="1"/>
  <c r="R394" i="17"/>
  <c r="U394" i="17"/>
  <c r="V394" i="17" s="1"/>
  <c r="R372" i="17"/>
  <c r="U372" i="17"/>
  <c r="V372" i="17" s="1"/>
  <c r="R393" i="17"/>
  <c r="U393" i="17"/>
  <c r="V393" i="17" s="1"/>
  <c r="G144" i="17"/>
  <c r="U145" i="17"/>
  <c r="V145" i="17" s="1"/>
  <c r="R377" i="17"/>
  <c r="U377" i="17"/>
  <c r="V377" i="17" s="1"/>
  <c r="R208" i="17"/>
  <c r="U208" i="17"/>
  <c r="V208" i="17" s="1"/>
  <c r="R381" i="17"/>
  <c r="U381" i="17"/>
  <c r="V381" i="17" s="1"/>
  <c r="U289" i="17"/>
  <c r="V289" i="17" s="1"/>
  <c r="R380" i="17"/>
  <c r="U380" i="17"/>
  <c r="V380" i="17" s="1"/>
  <c r="R287" i="17"/>
  <c r="U287" i="17"/>
  <c r="V287" i="17" s="1"/>
  <c r="R406" i="17"/>
  <c r="U406" i="17"/>
  <c r="V406" i="17" s="1"/>
  <c r="R207" i="17"/>
  <c r="U207" i="17"/>
  <c r="V207" i="17" s="1"/>
  <c r="R378" i="17"/>
  <c r="U378" i="17"/>
  <c r="V378" i="17" s="1"/>
  <c r="R465" i="17"/>
  <c r="U465" i="17"/>
  <c r="V465" i="17" s="1"/>
  <c r="R407" i="17"/>
  <c r="U407" i="17"/>
  <c r="V407" i="17" s="1"/>
  <c r="R205" i="17"/>
  <c r="U205" i="17"/>
  <c r="V205" i="17" s="1"/>
  <c r="U417" i="17"/>
  <c r="V417" i="17" s="1"/>
  <c r="R384" i="17"/>
  <c r="U384" i="17"/>
  <c r="V384" i="17" s="1"/>
  <c r="R408" i="17"/>
  <c r="U408" i="17"/>
  <c r="V408" i="17" s="1"/>
  <c r="R276" i="17"/>
  <c r="R136" i="17"/>
  <c r="U136" i="17"/>
  <c r="G174" i="17"/>
  <c r="AD174" i="17" s="1"/>
  <c r="G180" i="17"/>
  <c r="AD180" i="17" s="1"/>
  <c r="G179" i="17"/>
  <c r="AD179" i="17" s="1"/>
  <c r="G177" i="17"/>
  <c r="AD177" i="17" s="1"/>
  <c r="G522" i="17"/>
  <c r="AD522" i="17" s="1"/>
  <c r="F200" i="17"/>
  <c r="G271" i="17"/>
  <c r="AD271" i="17" s="1"/>
  <c r="G416" i="17"/>
  <c r="AD416" i="17" s="1"/>
  <c r="R417" i="17"/>
  <c r="R145" i="17"/>
  <c r="G288" i="17"/>
  <c r="AD288" i="17" s="1"/>
  <c r="R289" i="17"/>
  <c r="R524" i="17"/>
  <c r="G272" i="17"/>
  <c r="AD272" i="17" s="1"/>
  <c r="R273" i="17"/>
  <c r="G206" i="17"/>
  <c r="AD206" i="17" s="1"/>
  <c r="F1048576" i="67"/>
  <c r="G280" i="17"/>
  <c r="AD280" i="17" s="1"/>
  <c r="G139" i="17"/>
  <c r="G201" i="17"/>
  <c r="AD201" i="17" s="1"/>
  <c r="G284" i="17"/>
  <c r="AD284" i="17" s="1"/>
  <c r="G274" i="17"/>
  <c r="AD274" i="17" s="1"/>
  <c r="M506" i="17"/>
  <c r="K506" i="17"/>
  <c r="M469" i="17"/>
  <c r="L469" i="17" s="1"/>
  <c r="AD576" i="17" l="1"/>
  <c r="AD578" i="17" s="1"/>
  <c r="U139" i="17"/>
  <c r="AD139" i="17"/>
  <c r="U144" i="17"/>
  <c r="AD144" i="17"/>
  <c r="G146" i="17"/>
  <c r="U146" i="17" s="1"/>
  <c r="R144" i="17"/>
  <c r="G200" i="17"/>
  <c r="AC200" i="17"/>
  <c r="AC186" i="17" s="1"/>
  <c r="AC209" i="17" s="1"/>
  <c r="AC535" i="17" s="1"/>
  <c r="G270" i="17"/>
  <c r="AD270" i="17" s="1"/>
  <c r="U271" i="17"/>
  <c r="V271" i="17" s="1"/>
  <c r="R522" i="17"/>
  <c r="U522" i="17"/>
  <c r="V522" i="17" s="1"/>
  <c r="R274" i="17"/>
  <c r="U274" i="17"/>
  <c r="U177" i="17"/>
  <c r="V177" i="17" s="1"/>
  <c r="R284" i="17"/>
  <c r="U284" i="17"/>
  <c r="R201" i="17"/>
  <c r="U201" i="17"/>
  <c r="R179" i="17"/>
  <c r="U179" i="17"/>
  <c r="V179" i="17" s="1"/>
  <c r="R280" i="17"/>
  <c r="U280" i="17"/>
  <c r="R180" i="17"/>
  <c r="U180" i="17"/>
  <c r="V180" i="17" s="1"/>
  <c r="R174" i="17"/>
  <c r="U174" i="17"/>
  <c r="V174" i="17" s="1"/>
  <c r="U200" i="17"/>
  <c r="R206" i="17"/>
  <c r="U206" i="17"/>
  <c r="V206" i="17" s="1"/>
  <c r="R272" i="17"/>
  <c r="U272" i="17"/>
  <c r="R288" i="17"/>
  <c r="U288" i="17"/>
  <c r="R416" i="17"/>
  <c r="U416" i="17"/>
  <c r="V416" i="17" s="1"/>
  <c r="G95" i="17"/>
  <c r="AD95" i="17" s="1"/>
  <c r="G181" i="17"/>
  <c r="AD181" i="17" s="1"/>
  <c r="R271" i="17"/>
  <c r="G521" i="17"/>
  <c r="R139" i="17"/>
  <c r="C74" i="39"/>
  <c r="C84" i="39"/>
  <c r="E95" i="39"/>
  <c r="E96" i="39"/>
  <c r="B76" i="39"/>
  <c r="E76" i="39" s="1"/>
  <c r="G76" i="39" s="1"/>
  <c r="E87" i="39"/>
  <c r="B84" i="39"/>
  <c r="E82" i="39"/>
  <c r="B83" i="39"/>
  <c r="B75" i="39"/>
  <c r="B77" i="39" s="1"/>
  <c r="B104" i="39"/>
  <c r="C98" i="39"/>
  <c r="G98" i="39" s="1"/>
  <c r="I98" i="39" s="1"/>
  <c r="C97" i="39"/>
  <c r="G97" i="39" s="1"/>
  <c r="I97" i="39" s="1"/>
  <c r="C96" i="39"/>
  <c r="C95" i="39"/>
  <c r="B91" i="39"/>
  <c r="C91" i="39" s="1"/>
  <c r="C89" i="39"/>
  <c r="G89" i="39" s="1"/>
  <c r="I89" i="39" s="1"/>
  <c r="C88" i="39"/>
  <c r="G88" i="39" s="1"/>
  <c r="I88" i="39" s="1"/>
  <c r="C87" i="39"/>
  <c r="B87" i="39"/>
  <c r="AC539" i="17" l="1"/>
  <c r="AC537" i="17"/>
  <c r="AC541" i="17" s="1"/>
  <c r="AC543" i="17" s="1"/>
  <c r="AC580" i="17" s="1"/>
  <c r="AD146" i="17"/>
  <c r="AD200" i="17"/>
  <c r="AD521" i="17"/>
  <c r="AD526" i="17" s="1"/>
  <c r="G526" i="17"/>
  <c r="R200" i="17"/>
  <c r="V200" i="17"/>
  <c r="R146" i="17"/>
  <c r="R181" i="17"/>
  <c r="U181" i="17"/>
  <c r="V181" i="17" s="1"/>
  <c r="R95" i="17"/>
  <c r="U95" i="17"/>
  <c r="V95" i="17" s="1"/>
  <c r="U521" i="17"/>
  <c r="V521" i="17" s="1"/>
  <c r="R270" i="17"/>
  <c r="U270" i="17"/>
  <c r="R521" i="17"/>
  <c r="G96" i="39"/>
  <c r="I96" i="39" s="1"/>
  <c r="G312" i="17"/>
  <c r="AD312" i="17" s="1"/>
  <c r="G87" i="39"/>
  <c r="I87" i="39" s="1"/>
  <c r="G95" i="39"/>
  <c r="I95" i="39" s="1"/>
  <c r="B103" i="39"/>
  <c r="B105" i="39" s="1"/>
  <c r="C83" i="39"/>
  <c r="E83" i="39" s="1"/>
  <c r="E74" i="39"/>
  <c r="E84" i="39"/>
  <c r="B93" i="39"/>
  <c r="C93" i="39" s="1"/>
  <c r="G93" i="39" s="1"/>
  <c r="I93" i="39" s="1"/>
  <c r="B92" i="39"/>
  <c r="C92" i="39" s="1"/>
  <c r="G92" i="39" s="1"/>
  <c r="I92" i="39" s="1"/>
  <c r="G91" i="39"/>
  <c r="I91" i="39" s="1"/>
  <c r="C77" i="39"/>
  <c r="E77" i="39" s="1"/>
  <c r="C101" i="39"/>
  <c r="G101" i="39" s="1"/>
  <c r="I101" i="39" s="1"/>
  <c r="E75" i="39"/>
  <c r="C100" i="39"/>
  <c r="G100" i="39" s="1"/>
  <c r="I100" i="39" s="1"/>
  <c r="C61" i="39"/>
  <c r="G61" i="39" s="1"/>
  <c r="I61" i="39" s="1"/>
  <c r="C60" i="39"/>
  <c r="G60" i="39" s="1"/>
  <c r="I60" i="39" s="1"/>
  <c r="C53" i="39"/>
  <c r="G53" i="39" s="1"/>
  <c r="I53" i="39" s="1"/>
  <c r="C26" i="39"/>
  <c r="G26" i="39" s="1"/>
  <c r="I26" i="39" s="1"/>
  <c r="B24" i="39"/>
  <c r="B23" i="39"/>
  <c r="C23" i="39" s="1"/>
  <c r="G23" i="39" s="1"/>
  <c r="I23" i="39" s="1"/>
  <c r="C25" i="39"/>
  <c r="G25" i="39" s="1"/>
  <c r="I25" i="39" s="1"/>
  <c r="B19" i="39"/>
  <c r="C19" i="39" s="1"/>
  <c r="G19" i="39" s="1"/>
  <c r="I19" i="39" s="1"/>
  <c r="C15" i="39"/>
  <c r="G15" i="39" s="1"/>
  <c r="I15" i="39" s="1"/>
  <c r="B15" i="39"/>
  <c r="C62" i="39"/>
  <c r="G62" i="39" s="1"/>
  <c r="I62" i="39" s="1"/>
  <c r="C59" i="39"/>
  <c r="G59" i="39" s="1"/>
  <c r="I59" i="39" s="1"/>
  <c r="B55" i="39"/>
  <c r="C55" i="39" s="1"/>
  <c r="G55" i="39" s="1"/>
  <c r="I55" i="39" s="1"/>
  <c r="C51" i="39"/>
  <c r="G51" i="39" s="1"/>
  <c r="I51" i="39" s="1"/>
  <c r="B51" i="39"/>
  <c r="C52" i="39"/>
  <c r="G52" i="39" s="1"/>
  <c r="I52" i="39" s="1"/>
  <c r="B39" i="39"/>
  <c r="B41" i="39" s="1"/>
  <c r="B68" i="39"/>
  <c r="E48" i="39"/>
  <c r="E47" i="39"/>
  <c r="E46" i="39"/>
  <c r="B40" i="39"/>
  <c r="C41" i="39" s="1"/>
  <c r="E38" i="39"/>
  <c r="B33" i="39"/>
  <c r="E12" i="39"/>
  <c r="E11" i="39"/>
  <c r="E10" i="39"/>
  <c r="B4" i="39"/>
  <c r="E4" i="39" s="1"/>
  <c r="G4" i="39" s="1"/>
  <c r="B3" i="39"/>
  <c r="B16" i="39" s="1"/>
  <c r="C16" i="39" s="1"/>
  <c r="G16" i="39" s="1"/>
  <c r="I16" i="39" s="1"/>
  <c r="E2" i="39"/>
  <c r="G267" i="17"/>
  <c r="AD267" i="17" s="1"/>
  <c r="G266" i="17"/>
  <c r="AD266" i="17" s="1"/>
  <c r="G265" i="17"/>
  <c r="AD265" i="17" s="1"/>
  <c r="G264" i="17"/>
  <c r="AD264" i="17" s="1"/>
  <c r="G263" i="17"/>
  <c r="AD263" i="17" s="1"/>
  <c r="G262" i="17"/>
  <c r="AD262" i="17" s="1"/>
  <c r="G261" i="17"/>
  <c r="AD261" i="17" s="1"/>
  <c r="G260" i="17"/>
  <c r="AD260" i="17" s="1"/>
  <c r="G259" i="17"/>
  <c r="AD259" i="17" s="1"/>
  <c r="G258" i="17"/>
  <c r="AD258" i="17" s="1"/>
  <c r="G257" i="17"/>
  <c r="AD257" i="17" s="1"/>
  <c r="G253" i="17"/>
  <c r="AD253" i="17" s="1"/>
  <c r="G252" i="17"/>
  <c r="AD252" i="17" s="1"/>
  <c r="G251" i="17"/>
  <c r="AD251" i="17" s="1"/>
  <c r="G250" i="17"/>
  <c r="AD250" i="17" s="1"/>
  <c r="G249" i="17"/>
  <c r="AD249" i="17" s="1"/>
  <c r="G248" i="17"/>
  <c r="AD248" i="17" s="1"/>
  <c r="G247" i="17"/>
  <c r="AD247" i="17" s="1"/>
  <c r="G246" i="17"/>
  <c r="AD246" i="17" s="1"/>
  <c r="G245" i="17"/>
  <c r="AD245" i="17" s="1"/>
  <c r="G244" i="17"/>
  <c r="AD244" i="17" s="1"/>
  <c r="G256" i="17"/>
  <c r="AD256" i="17" s="1"/>
  <c r="G255" i="17"/>
  <c r="AD255" i="17" s="1"/>
  <c r="G254" i="17"/>
  <c r="AD254" i="17" s="1"/>
  <c r="R245" i="17" l="1"/>
  <c r="U245" i="17"/>
  <c r="V245" i="17" s="1"/>
  <c r="R246" i="17"/>
  <c r="U246" i="17"/>
  <c r="V246" i="17" s="1"/>
  <c r="R247" i="17"/>
  <c r="U247" i="17"/>
  <c r="V247" i="17" s="1"/>
  <c r="R312" i="17"/>
  <c r="U312" i="17"/>
  <c r="V312" i="17" s="1"/>
  <c r="R248" i="17"/>
  <c r="U248" i="17"/>
  <c r="V248" i="17" s="1"/>
  <c r="R249" i="17"/>
  <c r="U249" i="17"/>
  <c r="V249" i="17" s="1"/>
  <c r="R250" i="17"/>
  <c r="U250" i="17"/>
  <c r="V250" i="17" s="1"/>
  <c r="R251" i="17"/>
  <c r="U251" i="17"/>
  <c r="V251" i="17" s="1"/>
  <c r="R252" i="17"/>
  <c r="U252" i="17"/>
  <c r="V252" i="17" s="1"/>
  <c r="R253" i="17"/>
  <c r="U253" i="17"/>
  <c r="V253" i="17" s="1"/>
  <c r="R257" i="17"/>
  <c r="U257" i="17"/>
  <c r="V257" i="17" s="1"/>
  <c r="R258" i="17"/>
  <c r="U258" i="17"/>
  <c r="V258" i="17" s="1"/>
  <c r="R259" i="17"/>
  <c r="U259" i="17"/>
  <c r="V259" i="17" s="1"/>
  <c r="R260" i="17"/>
  <c r="U260" i="17"/>
  <c r="V260" i="17" s="1"/>
  <c r="R261" i="17"/>
  <c r="U261" i="17"/>
  <c r="V261" i="17" s="1"/>
  <c r="R526" i="17"/>
  <c r="U526" i="17"/>
  <c r="V526" i="17" s="1"/>
  <c r="R262" i="17"/>
  <c r="U262" i="17"/>
  <c r="V262" i="17" s="1"/>
  <c r="R263" i="17"/>
  <c r="U263" i="17"/>
  <c r="V263" i="17" s="1"/>
  <c r="R254" i="17"/>
  <c r="U254" i="17"/>
  <c r="V254" i="17" s="1"/>
  <c r="R264" i="17"/>
  <c r="U264" i="17"/>
  <c r="V264" i="17" s="1"/>
  <c r="R255" i="17"/>
  <c r="U255" i="17"/>
  <c r="V255" i="17" s="1"/>
  <c r="R265" i="17"/>
  <c r="U265" i="17"/>
  <c r="V265" i="17" s="1"/>
  <c r="R256" i="17"/>
  <c r="U256" i="17"/>
  <c r="V256" i="17" s="1"/>
  <c r="R266" i="17"/>
  <c r="U266" i="17"/>
  <c r="V266" i="17" s="1"/>
  <c r="R244" i="17"/>
  <c r="U244" i="17"/>
  <c r="V244" i="17" s="1"/>
  <c r="R267" i="17"/>
  <c r="U267" i="17"/>
  <c r="V267" i="17" s="1"/>
  <c r="G314" i="17"/>
  <c r="AD314" i="17" s="1"/>
  <c r="G300" i="17"/>
  <c r="AD300" i="17" s="1"/>
  <c r="G309" i="17"/>
  <c r="AD309" i="17" s="1"/>
  <c r="G313" i="17"/>
  <c r="AD313" i="17" s="1"/>
  <c r="G303" i="17"/>
  <c r="AD303" i="17" s="1"/>
  <c r="G316" i="17"/>
  <c r="AD316" i="17" s="1"/>
  <c r="G304" i="17"/>
  <c r="AD304" i="17" s="1"/>
  <c r="G311" i="17"/>
  <c r="AD311" i="17" s="1"/>
  <c r="G305" i="17"/>
  <c r="AD305" i="17" s="1"/>
  <c r="G75" i="39"/>
  <c r="I102" i="39"/>
  <c r="E39" i="39"/>
  <c r="G39" i="39" s="1"/>
  <c r="B65" i="39"/>
  <c r="C65" i="39" s="1"/>
  <c r="G65" i="39" s="1"/>
  <c r="I65" i="39" s="1"/>
  <c r="B64" i="39"/>
  <c r="C64" i="39" s="1"/>
  <c r="G64" i="39" s="1"/>
  <c r="I64" i="39" s="1"/>
  <c r="B21" i="39"/>
  <c r="B57" i="39"/>
  <c r="C57" i="39" s="1"/>
  <c r="G57" i="39" s="1"/>
  <c r="I57" i="39" s="1"/>
  <c r="B17" i="39"/>
  <c r="C17" i="39" s="1"/>
  <c r="G17" i="39" s="1"/>
  <c r="I17" i="39" s="1"/>
  <c r="C24" i="39"/>
  <c r="G24" i="39" s="1"/>
  <c r="I24" i="39" s="1"/>
  <c r="B29" i="39"/>
  <c r="C29" i="39" s="1"/>
  <c r="G29" i="39" s="1"/>
  <c r="I29" i="39" s="1"/>
  <c r="B20" i="39"/>
  <c r="C20" i="39" s="1"/>
  <c r="G20" i="39" s="1"/>
  <c r="I20" i="39" s="1"/>
  <c r="B32" i="39"/>
  <c r="B34" i="39" s="1"/>
  <c r="B5" i="39"/>
  <c r="B56" i="39"/>
  <c r="C56" i="39" s="1"/>
  <c r="G56" i="39" s="1"/>
  <c r="I56" i="39" s="1"/>
  <c r="C5" i="39"/>
  <c r="B67" i="39"/>
  <c r="B69" i="39" s="1"/>
  <c r="E3" i="39"/>
  <c r="G3" i="39" s="1"/>
  <c r="E41" i="39"/>
  <c r="E40" i="39"/>
  <c r="G40" i="39" s="1"/>
  <c r="B7" i="38"/>
  <c r="D7" i="38" s="1"/>
  <c r="B6" i="38"/>
  <c r="D6" i="38" s="1"/>
  <c r="B5" i="38"/>
  <c r="D5" i="38" s="1"/>
  <c r="B4" i="38"/>
  <c r="D4" i="38" s="1"/>
  <c r="B3" i="38"/>
  <c r="D3" i="38" s="1"/>
  <c r="E27" i="37"/>
  <c r="G27" i="37" s="1"/>
  <c r="E26" i="37"/>
  <c r="G26" i="37" s="1"/>
  <c r="E25" i="37"/>
  <c r="G25" i="37" s="1"/>
  <c r="G24" i="37"/>
  <c r="E23" i="37"/>
  <c r="G23" i="37" s="1"/>
  <c r="E22" i="37"/>
  <c r="G22" i="37" s="1"/>
  <c r="E21" i="37"/>
  <c r="G21" i="37" s="1"/>
  <c r="G20" i="37"/>
  <c r="G19" i="37"/>
  <c r="G18" i="37"/>
  <c r="E17" i="37"/>
  <c r="G17" i="37" s="1"/>
  <c r="E16" i="37"/>
  <c r="G16" i="37" s="1"/>
  <c r="E15" i="37"/>
  <c r="G15" i="37" s="1"/>
  <c r="G14" i="37"/>
  <c r="E13" i="37"/>
  <c r="G13" i="37" s="1"/>
  <c r="E12" i="37"/>
  <c r="G12" i="37" s="1"/>
  <c r="G11" i="37"/>
  <c r="G10" i="37"/>
  <c r="G9" i="37"/>
  <c r="E8" i="37"/>
  <c r="G8" i="37" s="1"/>
  <c r="G7" i="37"/>
  <c r="G6" i="37"/>
  <c r="E5" i="37"/>
  <c r="G5" i="37" s="1"/>
  <c r="E4" i="37"/>
  <c r="G4" i="37" s="1"/>
  <c r="E3" i="37"/>
  <c r="G3" i="37" s="1"/>
  <c r="B63" i="35"/>
  <c r="B6" i="35"/>
  <c r="B68" i="35" s="1"/>
  <c r="D220" i="34"/>
  <c r="D219" i="34"/>
  <c r="D218" i="34"/>
  <c r="D217" i="34"/>
  <c r="D216" i="34"/>
  <c r="D215" i="34"/>
  <c r="D214" i="34"/>
  <c r="D213" i="34"/>
  <c r="D212" i="34"/>
  <c r="D211" i="34"/>
  <c r="D210" i="34"/>
  <c r="D209" i="34"/>
  <c r="D208" i="34"/>
  <c r="D207" i="34"/>
  <c r="D206" i="34"/>
  <c r="D205" i="34"/>
  <c r="D204" i="34"/>
  <c r="D203" i="34"/>
  <c r="D200" i="34"/>
  <c r="D199" i="34"/>
  <c r="D198" i="34"/>
  <c r="D196" i="34"/>
  <c r="D195" i="34"/>
  <c r="D194" i="34"/>
  <c r="D193" i="34"/>
  <c r="D192" i="34"/>
  <c r="D191" i="34"/>
  <c r="D190" i="34"/>
  <c r="D189" i="34"/>
  <c r="D188" i="34"/>
  <c r="D187" i="34"/>
  <c r="D186" i="34"/>
  <c r="D185" i="34"/>
  <c r="D184" i="34"/>
  <c r="D183" i="34"/>
  <c r="D182" i="34"/>
  <c r="D181" i="34"/>
  <c r="D180" i="34"/>
  <c r="D179" i="34"/>
  <c r="D175" i="34"/>
  <c r="D174" i="34"/>
  <c r="D173" i="34"/>
  <c r="D172" i="34"/>
  <c r="D171" i="34"/>
  <c r="D170" i="34"/>
  <c r="D169" i="34"/>
  <c r="D168" i="34"/>
  <c r="D167" i="34"/>
  <c r="D166" i="34"/>
  <c r="D165" i="34"/>
  <c r="D164" i="34"/>
  <c r="D163" i="34"/>
  <c r="D162" i="34"/>
  <c r="D161" i="34"/>
  <c r="D160" i="34"/>
  <c r="D159" i="34"/>
  <c r="D157" i="34"/>
  <c r="D156" i="34"/>
  <c r="D155" i="34"/>
  <c r="D154" i="34"/>
  <c r="D153" i="34"/>
  <c r="D152" i="34"/>
  <c r="D151" i="34"/>
  <c r="D150" i="34"/>
  <c r="D149" i="34"/>
  <c r="D148" i="34"/>
  <c r="D147" i="34"/>
  <c r="D146" i="34"/>
  <c r="D145" i="34"/>
  <c r="D144" i="34"/>
  <c r="D143" i="34"/>
  <c r="D142" i="34"/>
  <c r="D141" i="34"/>
  <c r="D140" i="34"/>
  <c r="D139" i="34"/>
  <c r="D138" i="34"/>
  <c r="D136" i="34"/>
  <c r="D135" i="34"/>
  <c r="D134" i="34"/>
  <c r="D133" i="34"/>
  <c r="D132" i="34"/>
  <c r="D131" i="34"/>
  <c r="D130" i="34"/>
  <c r="D129" i="34"/>
  <c r="D128" i="34"/>
  <c r="D127" i="34"/>
  <c r="D126" i="34"/>
  <c r="D125" i="34"/>
  <c r="D124" i="34"/>
  <c r="D122" i="34"/>
  <c r="D121" i="34"/>
  <c r="D120" i="34"/>
  <c r="D119" i="34"/>
  <c r="D118" i="34"/>
  <c r="D117" i="34"/>
  <c r="D116" i="34"/>
  <c r="D115" i="34"/>
  <c r="D114" i="34"/>
  <c r="D113" i="34"/>
  <c r="D112" i="34"/>
  <c r="D111" i="34"/>
  <c r="D110" i="34"/>
  <c r="D109" i="34"/>
  <c r="D108" i="34"/>
  <c r="D107" i="34"/>
  <c r="D106" i="34"/>
  <c r="D105" i="34"/>
  <c r="D104" i="34"/>
  <c r="D103" i="34"/>
  <c r="G94" i="34"/>
  <c r="E93" i="34"/>
  <c r="G93" i="34" s="1"/>
  <c r="E92" i="34"/>
  <c r="G92" i="34" s="1"/>
  <c r="E91" i="34"/>
  <c r="G91" i="34" s="1"/>
  <c r="E90" i="34"/>
  <c r="G90" i="34" s="1"/>
  <c r="E89" i="34"/>
  <c r="G89" i="34" s="1"/>
  <c r="E88" i="34"/>
  <c r="G88" i="34" s="1"/>
  <c r="G87" i="34"/>
  <c r="G86" i="34"/>
  <c r="E85" i="34"/>
  <c r="E84" i="34"/>
  <c r="E83" i="34"/>
  <c r="E82" i="34"/>
  <c r="E81" i="34"/>
  <c r="E80" i="34"/>
  <c r="E79" i="34"/>
  <c r="E78" i="34"/>
  <c r="E77" i="34"/>
  <c r="G76" i="34"/>
  <c r="G75" i="34"/>
  <c r="G74" i="34"/>
  <c r="E73" i="34"/>
  <c r="E72" i="34"/>
  <c r="E71" i="34"/>
  <c r="G70" i="34"/>
  <c r="E69" i="34"/>
  <c r="G69" i="34" s="1"/>
  <c r="E68" i="34"/>
  <c r="G68" i="34" s="1"/>
  <c r="E67" i="34"/>
  <c r="G67" i="34" s="1"/>
  <c r="G66" i="34"/>
  <c r="E65" i="34"/>
  <c r="G65" i="34" s="1"/>
  <c r="E64" i="34"/>
  <c r="G64" i="34" s="1"/>
  <c r="E63" i="34"/>
  <c r="G63" i="34" s="1"/>
  <c r="E62" i="34"/>
  <c r="G62" i="34" s="1"/>
  <c r="E61" i="34"/>
  <c r="G61" i="34" s="1"/>
  <c r="E60" i="34"/>
  <c r="G60" i="34" s="1"/>
  <c r="E59" i="34"/>
  <c r="G59" i="34" s="1"/>
  <c r="E58" i="34"/>
  <c r="G58" i="34" s="1"/>
  <c r="E57" i="34"/>
  <c r="G57" i="34" s="1"/>
  <c r="E56" i="34"/>
  <c r="G56" i="34" s="1"/>
  <c r="G55" i="34"/>
  <c r="G54" i="34"/>
  <c r="G53" i="34"/>
  <c r="E52" i="34"/>
  <c r="G52" i="34" s="1"/>
  <c r="G51" i="34"/>
  <c r="E50" i="34"/>
  <c r="G50" i="34" s="1"/>
  <c r="E49" i="34"/>
  <c r="G49" i="34" s="1"/>
  <c r="E48" i="34"/>
  <c r="G48" i="34" s="1"/>
  <c r="E47" i="34"/>
  <c r="G47" i="34" s="1"/>
  <c r="E46" i="34"/>
  <c r="G46" i="34" s="1"/>
  <c r="G45" i="34"/>
  <c r="E44" i="34"/>
  <c r="G44" i="34" s="1"/>
  <c r="E43" i="34"/>
  <c r="G43" i="34" s="1"/>
  <c r="G42" i="34"/>
  <c r="E41" i="34"/>
  <c r="G41" i="34" s="1"/>
  <c r="E40" i="34"/>
  <c r="G40" i="34" s="1"/>
  <c r="E39" i="34"/>
  <c r="G39" i="34" s="1"/>
  <c r="E38" i="34"/>
  <c r="G38" i="34" s="1"/>
  <c r="E37" i="34"/>
  <c r="G37" i="34" s="1"/>
  <c r="E36" i="34"/>
  <c r="G36" i="34" s="1"/>
  <c r="G35" i="34"/>
  <c r="E34" i="34"/>
  <c r="G34" i="34" s="1"/>
  <c r="E33" i="34"/>
  <c r="G33" i="34" s="1"/>
  <c r="E32" i="34"/>
  <c r="G32" i="34" s="1"/>
  <c r="E31" i="34"/>
  <c r="G31" i="34" s="1"/>
  <c r="E30" i="34"/>
  <c r="G30" i="34" s="1"/>
  <c r="E29" i="34"/>
  <c r="G29" i="34" s="1"/>
  <c r="G28" i="34"/>
  <c r="E28" i="34"/>
  <c r="E27" i="34"/>
  <c r="G27" i="34" s="1"/>
  <c r="G26" i="34"/>
  <c r="G25" i="34"/>
  <c r="G24" i="34"/>
  <c r="E23" i="34"/>
  <c r="G23" i="34" s="1"/>
  <c r="E22" i="34"/>
  <c r="G22" i="34" s="1"/>
  <c r="E21" i="34"/>
  <c r="G21" i="34" s="1"/>
  <c r="E20" i="34"/>
  <c r="G20" i="34" s="1"/>
  <c r="E19" i="34"/>
  <c r="G19" i="34" s="1"/>
  <c r="G18" i="34"/>
  <c r="E17" i="34"/>
  <c r="G17" i="34" s="1"/>
  <c r="E16" i="34"/>
  <c r="G16" i="34" s="1"/>
  <c r="G15" i="34"/>
  <c r="E15" i="34"/>
  <c r="E14" i="34"/>
  <c r="G14" i="34" s="1"/>
  <c r="E13" i="34"/>
  <c r="G13" i="34" s="1"/>
  <c r="G12" i="34"/>
  <c r="E11" i="34"/>
  <c r="G11" i="34" s="1"/>
  <c r="E10" i="34"/>
  <c r="G10" i="34" s="1"/>
  <c r="G9" i="34"/>
  <c r="E8" i="34"/>
  <c r="G8" i="34" s="1"/>
  <c r="E7" i="34"/>
  <c r="G7" i="34" s="1"/>
  <c r="E6" i="34"/>
  <c r="G6" i="34" s="1"/>
  <c r="E5" i="34"/>
  <c r="G5" i="34" s="1"/>
  <c r="I13" i="32"/>
  <c r="I14" i="32"/>
  <c r="I15" i="32"/>
  <c r="I16" i="32"/>
  <c r="I17" i="32"/>
  <c r="I18" i="32"/>
  <c r="I20" i="32"/>
  <c r="I21" i="32"/>
  <c r="I22" i="32"/>
  <c r="I23" i="32"/>
  <c r="I24" i="32"/>
  <c r="I25" i="32"/>
  <c r="I26" i="32"/>
  <c r="I27" i="32"/>
  <c r="I28" i="32"/>
  <c r="I29" i="32"/>
  <c r="I30" i="32"/>
  <c r="I31" i="32"/>
  <c r="I32" i="32"/>
  <c r="I33" i="32"/>
  <c r="I34" i="32"/>
  <c r="I35" i="32"/>
  <c r="I36" i="32"/>
  <c r="I37" i="32"/>
  <c r="I38" i="32"/>
  <c r="I39" i="32"/>
  <c r="I40" i="32"/>
  <c r="I41" i="32"/>
  <c r="I42" i="32"/>
  <c r="I43" i="32"/>
  <c r="I44" i="32"/>
  <c r="I45" i="32"/>
  <c r="I46" i="32"/>
  <c r="I47" i="32"/>
  <c r="I48" i="32"/>
  <c r="I49" i="32"/>
  <c r="I50" i="32"/>
  <c r="I51" i="32"/>
  <c r="I52" i="32"/>
  <c r="I53" i="32"/>
  <c r="I54" i="32"/>
  <c r="I55" i="32"/>
  <c r="I56" i="32"/>
  <c r="I57" i="32"/>
  <c r="I58" i="32"/>
  <c r="I59" i="32"/>
  <c r="I60" i="32"/>
  <c r="I61" i="32"/>
  <c r="I62" i="32"/>
  <c r="I63" i="32"/>
  <c r="I64" i="32"/>
  <c r="I65" i="32"/>
  <c r="I66" i="32"/>
  <c r="I67" i="32"/>
  <c r="I68" i="32"/>
  <c r="I69" i="32"/>
  <c r="I70" i="32"/>
  <c r="I71" i="32"/>
  <c r="I72" i="32"/>
  <c r="I73" i="32"/>
  <c r="I74" i="32"/>
  <c r="I75" i="32"/>
  <c r="I76" i="32"/>
  <c r="I12" i="32"/>
  <c r="I77" i="32" s="1"/>
  <c r="G19" i="32"/>
  <c r="I19" i="32" s="1"/>
  <c r="E9" i="32"/>
  <c r="E10" i="32"/>
  <c r="E11" i="32"/>
  <c r="E12" i="32"/>
  <c r="E14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29" i="32"/>
  <c r="E30" i="32"/>
  <c r="E31" i="32"/>
  <c r="E32" i="32"/>
  <c r="E33" i="32"/>
  <c r="E34" i="32"/>
  <c r="E35" i="32"/>
  <c r="E36" i="32"/>
  <c r="E37" i="32"/>
  <c r="E38" i="32"/>
  <c r="E39" i="32"/>
  <c r="E40" i="32"/>
  <c r="E41" i="32"/>
  <c r="E42" i="32"/>
  <c r="E43" i="32"/>
  <c r="E44" i="32"/>
  <c r="E45" i="32"/>
  <c r="E46" i="32"/>
  <c r="E47" i="32"/>
  <c r="E48" i="32"/>
  <c r="E49" i="32"/>
  <c r="E50" i="32"/>
  <c r="E51" i="32"/>
  <c r="E52" i="32"/>
  <c r="E53" i="32"/>
  <c r="E54" i="32"/>
  <c r="E55" i="32"/>
  <c r="E56" i="32"/>
  <c r="E57" i="32"/>
  <c r="E58" i="32"/>
  <c r="E59" i="32"/>
  <c r="E60" i="32"/>
  <c r="E61" i="32"/>
  <c r="E62" i="32"/>
  <c r="E63" i="32"/>
  <c r="E64" i="32"/>
  <c r="E65" i="32"/>
  <c r="E66" i="32"/>
  <c r="E67" i="32"/>
  <c r="E68" i="32"/>
  <c r="E69" i="32"/>
  <c r="E70" i="32"/>
  <c r="E71" i="32"/>
  <c r="E72" i="32"/>
  <c r="E73" i="32"/>
  <c r="E74" i="32"/>
  <c r="E75" i="32"/>
  <c r="E76" i="32"/>
  <c r="E8" i="32"/>
  <c r="C5" i="32"/>
  <c r="B5" i="32"/>
  <c r="B7" i="31"/>
  <c r="D7" i="31" s="1"/>
  <c r="B6" i="31"/>
  <c r="D6" i="31" s="1"/>
  <c r="B5" i="31"/>
  <c r="D5" i="31" s="1"/>
  <c r="B4" i="31"/>
  <c r="D4" i="31" s="1"/>
  <c r="B3" i="31"/>
  <c r="D3" i="31" s="1"/>
  <c r="D219" i="30"/>
  <c r="D217" i="30"/>
  <c r="D216" i="30"/>
  <c r="D213" i="30"/>
  <c r="D212" i="30"/>
  <c r="D211" i="30"/>
  <c r="D208" i="30"/>
  <c r="D207" i="30"/>
  <c r="D205" i="30"/>
  <c r="D204" i="30"/>
  <c r="D203" i="30"/>
  <c r="D198" i="30"/>
  <c r="D195" i="30"/>
  <c r="D189" i="30"/>
  <c r="D188" i="30"/>
  <c r="D186" i="30"/>
  <c r="D185" i="30"/>
  <c r="D184" i="30"/>
  <c r="D179" i="30"/>
  <c r="D172" i="30"/>
  <c r="D173" i="30"/>
  <c r="D169" i="30"/>
  <c r="D170" i="30"/>
  <c r="D171" i="30"/>
  <c r="D167" i="30"/>
  <c r="D165" i="30"/>
  <c r="D163" i="30"/>
  <c r="D162" i="30"/>
  <c r="D161" i="30"/>
  <c r="D155" i="30"/>
  <c r="D153" i="30"/>
  <c r="D150" i="30"/>
  <c r="D147" i="30"/>
  <c r="D145" i="30"/>
  <c r="D142" i="30"/>
  <c r="D138" i="30"/>
  <c r="D136" i="30"/>
  <c r="D133" i="30"/>
  <c r="D130" i="30"/>
  <c r="D129" i="30"/>
  <c r="D128" i="30"/>
  <c r="D127" i="30"/>
  <c r="D126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6" i="30"/>
  <c r="D104" i="30"/>
  <c r="D105" i="30"/>
  <c r="D103" i="30"/>
  <c r="D220" i="30"/>
  <c r="D218" i="30"/>
  <c r="D215" i="30"/>
  <c r="D214" i="30"/>
  <c r="D210" i="30"/>
  <c r="D209" i="30"/>
  <c r="D206" i="30"/>
  <c r="D200" i="30"/>
  <c r="D199" i="30"/>
  <c r="D196" i="30"/>
  <c r="D194" i="30"/>
  <c r="D193" i="30"/>
  <c r="D192" i="30"/>
  <c r="D191" i="30"/>
  <c r="D190" i="30"/>
  <c r="D187" i="30"/>
  <c r="D183" i="30"/>
  <c r="D182" i="30"/>
  <c r="D181" i="30"/>
  <c r="D180" i="30"/>
  <c r="D175" i="30"/>
  <c r="D174" i="30"/>
  <c r="D168" i="30"/>
  <c r="D166" i="30"/>
  <c r="D164" i="30"/>
  <c r="D160" i="30"/>
  <c r="D159" i="30"/>
  <c r="D157" i="30"/>
  <c r="D156" i="30"/>
  <c r="D154" i="30"/>
  <c r="D152" i="30"/>
  <c r="D151" i="30"/>
  <c r="D149" i="30"/>
  <c r="D148" i="30"/>
  <c r="D146" i="30"/>
  <c r="D144" i="30"/>
  <c r="D143" i="30"/>
  <c r="D141" i="30"/>
  <c r="D140" i="30"/>
  <c r="D139" i="30"/>
  <c r="D135" i="30"/>
  <c r="D134" i="30"/>
  <c r="D132" i="30"/>
  <c r="D131" i="30"/>
  <c r="D125" i="30"/>
  <c r="D124" i="30"/>
  <c r="D107" i="30"/>
  <c r="G94" i="30"/>
  <c r="E93" i="30"/>
  <c r="G93" i="30" s="1"/>
  <c r="E92" i="30"/>
  <c r="G92" i="30" s="1"/>
  <c r="E91" i="30"/>
  <c r="G91" i="30" s="1"/>
  <c r="E90" i="30"/>
  <c r="G90" i="30" s="1"/>
  <c r="E89" i="30"/>
  <c r="G89" i="30" s="1"/>
  <c r="E88" i="30"/>
  <c r="G88" i="30" s="1"/>
  <c r="G87" i="30"/>
  <c r="G86" i="30"/>
  <c r="E85" i="30"/>
  <c r="E84" i="30"/>
  <c r="E83" i="30"/>
  <c r="E82" i="30"/>
  <c r="E81" i="30"/>
  <c r="E80" i="30"/>
  <c r="E79" i="30"/>
  <c r="E78" i="30"/>
  <c r="E77" i="30"/>
  <c r="G76" i="30"/>
  <c r="G75" i="30"/>
  <c r="G74" i="30"/>
  <c r="E73" i="30"/>
  <c r="E72" i="30"/>
  <c r="E71" i="30"/>
  <c r="G70" i="30"/>
  <c r="E69" i="30"/>
  <c r="G69" i="30" s="1"/>
  <c r="E68" i="30"/>
  <c r="G68" i="30" s="1"/>
  <c r="E67" i="30"/>
  <c r="G67" i="30" s="1"/>
  <c r="G66" i="30"/>
  <c r="E65" i="30"/>
  <c r="G65" i="30" s="1"/>
  <c r="E64" i="30"/>
  <c r="G64" i="30" s="1"/>
  <c r="E63" i="30"/>
  <c r="G63" i="30" s="1"/>
  <c r="E62" i="30"/>
  <c r="G62" i="30" s="1"/>
  <c r="E61" i="30"/>
  <c r="G61" i="30" s="1"/>
  <c r="E60" i="30"/>
  <c r="G60" i="30" s="1"/>
  <c r="E59" i="30"/>
  <c r="G59" i="30" s="1"/>
  <c r="E58" i="30"/>
  <c r="G58" i="30" s="1"/>
  <c r="E57" i="30"/>
  <c r="G57" i="30" s="1"/>
  <c r="E56" i="30"/>
  <c r="G56" i="30" s="1"/>
  <c r="G55" i="30"/>
  <c r="G54" i="30"/>
  <c r="G53" i="30"/>
  <c r="E52" i="30"/>
  <c r="G52" i="30" s="1"/>
  <c r="G51" i="30"/>
  <c r="E50" i="30"/>
  <c r="G50" i="30" s="1"/>
  <c r="E49" i="30"/>
  <c r="G49" i="30" s="1"/>
  <c r="E48" i="30"/>
  <c r="G48" i="30" s="1"/>
  <c r="E47" i="30"/>
  <c r="G47" i="30" s="1"/>
  <c r="E46" i="30"/>
  <c r="G46" i="30" s="1"/>
  <c r="G45" i="30"/>
  <c r="E44" i="30"/>
  <c r="G44" i="30" s="1"/>
  <c r="E43" i="30"/>
  <c r="G43" i="30" s="1"/>
  <c r="G42" i="30"/>
  <c r="E41" i="30"/>
  <c r="G41" i="30" s="1"/>
  <c r="E40" i="30"/>
  <c r="G40" i="30" s="1"/>
  <c r="E39" i="30"/>
  <c r="G39" i="30" s="1"/>
  <c r="E38" i="30"/>
  <c r="G38" i="30" s="1"/>
  <c r="G37" i="30"/>
  <c r="E37" i="30"/>
  <c r="E36" i="30"/>
  <c r="G36" i="30" s="1"/>
  <c r="G35" i="30"/>
  <c r="E34" i="30"/>
  <c r="G34" i="30" s="1"/>
  <c r="E33" i="30"/>
  <c r="G33" i="30" s="1"/>
  <c r="E32" i="30"/>
  <c r="G32" i="30" s="1"/>
  <c r="E31" i="30"/>
  <c r="G31" i="30" s="1"/>
  <c r="E30" i="30"/>
  <c r="G30" i="30" s="1"/>
  <c r="E29" i="30"/>
  <c r="G29" i="30" s="1"/>
  <c r="E28" i="30"/>
  <c r="G28" i="30" s="1"/>
  <c r="E27" i="30"/>
  <c r="G27" i="30" s="1"/>
  <c r="G26" i="30"/>
  <c r="G25" i="30"/>
  <c r="G24" i="30"/>
  <c r="E23" i="30"/>
  <c r="G23" i="30" s="1"/>
  <c r="E22" i="30"/>
  <c r="G22" i="30" s="1"/>
  <c r="E21" i="30"/>
  <c r="G21" i="30" s="1"/>
  <c r="E20" i="30"/>
  <c r="G20" i="30" s="1"/>
  <c r="G19" i="30"/>
  <c r="E19" i="30"/>
  <c r="G18" i="30"/>
  <c r="E17" i="30"/>
  <c r="G17" i="30" s="1"/>
  <c r="E16" i="30"/>
  <c r="G16" i="30" s="1"/>
  <c r="E15" i="30"/>
  <c r="G15" i="30" s="1"/>
  <c r="E14" i="30"/>
  <c r="G14" i="30" s="1"/>
  <c r="E13" i="30"/>
  <c r="G13" i="30" s="1"/>
  <c r="G12" i="30"/>
  <c r="E11" i="30"/>
  <c r="G11" i="30" s="1"/>
  <c r="E10" i="30"/>
  <c r="G10" i="30" s="1"/>
  <c r="G9" i="30"/>
  <c r="E8" i="30"/>
  <c r="G8" i="30" s="1"/>
  <c r="E7" i="30"/>
  <c r="G7" i="30" s="1"/>
  <c r="E6" i="30"/>
  <c r="G6" i="30" s="1"/>
  <c r="E5" i="30"/>
  <c r="G5" i="30" s="1"/>
  <c r="R314" i="17" l="1"/>
  <c r="U314" i="17"/>
  <c r="V314" i="17" s="1"/>
  <c r="R311" i="17"/>
  <c r="U311" i="17"/>
  <c r="V311" i="17" s="1"/>
  <c r="R316" i="17"/>
  <c r="U316" i="17"/>
  <c r="V316" i="17" s="1"/>
  <c r="R309" i="17"/>
  <c r="U309" i="17"/>
  <c r="V309" i="17" s="1"/>
  <c r="R305" i="17"/>
  <c r="U305" i="17"/>
  <c r="V305" i="17" s="1"/>
  <c r="R304" i="17"/>
  <c r="U304" i="17"/>
  <c r="V304" i="17" s="1"/>
  <c r="R303" i="17"/>
  <c r="U303" i="17"/>
  <c r="V303" i="17" s="1"/>
  <c r="R313" i="17"/>
  <c r="U313" i="17"/>
  <c r="V313" i="17" s="1"/>
  <c r="R300" i="17"/>
  <c r="U300" i="17"/>
  <c r="V300" i="17" s="1"/>
  <c r="C21" i="39"/>
  <c r="G21" i="39" s="1"/>
  <c r="I21" i="39" s="1"/>
  <c r="D222" i="34"/>
  <c r="G302" i="17"/>
  <c r="AD302" i="17" s="1"/>
  <c r="G315" i="17"/>
  <c r="AD315" i="17" s="1"/>
  <c r="G307" i="17"/>
  <c r="AD307" i="17" s="1"/>
  <c r="G164" i="17"/>
  <c r="AD164" i="17" s="1"/>
  <c r="D9" i="31"/>
  <c r="G310" i="17"/>
  <c r="AD310" i="17" s="1"/>
  <c r="G301" i="17"/>
  <c r="AD301" i="17" s="1"/>
  <c r="I66" i="39"/>
  <c r="B28" i="39"/>
  <c r="C28" i="39" s="1"/>
  <c r="G28" i="39" s="1"/>
  <c r="I28" i="39" s="1"/>
  <c r="E5" i="39"/>
  <c r="D9" i="38"/>
  <c r="G29" i="37"/>
  <c r="G96" i="34"/>
  <c r="D223" i="34" s="1"/>
  <c r="E77" i="32"/>
  <c r="B79" i="32" s="1"/>
  <c r="D222" i="30"/>
  <c r="G96" i="30"/>
  <c r="R301" i="17" l="1"/>
  <c r="U301" i="17"/>
  <c r="V301" i="17"/>
  <c r="U310" i="17"/>
  <c r="V310" i="17" s="1"/>
  <c r="U164" i="17"/>
  <c r="V164" i="17" s="1"/>
  <c r="R307" i="17"/>
  <c r="U307" i="17"/>
  <c r="V307" i="17" s="1"/>
  <c r="R315" i="17"/>
  <c r="U315" i="17"/>
  <c r="V315" i="17" s="1"/>
  <c r="R302" i="17"/>
  <c r="U302" i="17"/>
  <c r="V302" i="17" s="1"/>
  <c r="G161" i="17"/>
  <c r="AD161" i="17" s="1"/>
  <c r="G165" i="17"/>
  <c r="AD165" i="17" s="1"/>
  <c r="G166" i="17"/>
  <c r="AD166" i="17" s="1"/>
  <c r="G306" i="17"/>
  <c r="AD306" i="17" s="1"/>
  <c r="G162" i="17"/>
  <c r="AD162" i="17" s="1"/>
  <c r="G308" i="17"/>
  <c r="AD308" i="17" s="1"/>
  <c r="R310" i="17"/>
  <c r="I30" i="39"/>
  <c r="D223" i="30"/>
  <c r="U166" i="17" l="1"/>
  <c r="V166" i="17" s="1"/>
  <c r="U165" i="17"/>
  <c r="V165" i="17" s="1"/>
  <c r="U161" i="17"/>
  <c r="V161" i="17" s="1"/>
  <c r="R308" i="17"/>
  <c r="U308" i="17"/>
  <c r="U162" i="17"/>
  <c r="V162" i="17" s="1"/>
  <c r="R306" i="17"/>
  <c r="U306" i="17"/>
  <c r="V306" i="17" s="1"/>
  <c r="G299" i="17"/>
  <c r="AD299" i="17" s="1"/>
  <c r="D41" i="28"/>
  <c r="D42" i="28" s="1"/>
  <c r="C41" i="28"/>
  <c r="B2" i="29" s="1"/>
  <c r="B42" i="28"/>
  <c r="B63" i="27"/>
  <c r="D2" i="14"/>
  <c r="B6" i="27"/>
  <c r="B68" i="27" s="1"/>
  <c r="G132" i="17"/>
  <c r="AD132" i="17" s="1"/>
  <c r="B13" i="25"/>
  <c r="D29" i="24"/>
  <c r="D28" i="24"/>
  <c r="D27" i="24"/>
  <c r="D26" i="24"/>
  <c r="D25" i="24"/>
  <c r="D24" i="24"/>
  <c r="D23" i="24"/>
  <c r="D22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D5" i="24"/>
  <c r="D2" i="24"/>
  <c r="G112" i="17"/>
  <c r="AD112" i="17" s="1"/>
  <c r="B33" i="22"/>
  <c r="B52" i="22"/>
  <c r="D2" i="20"/>
  <c r="C2" i="20" s="1"/>
  <c r="E4" i="19"/>
  <c r="B6" i="19" s="1"/>
  <c r="B2" i="20" s="1"/>
  <c r="E5" i="18"/>
  <c r="E4" i="18"/>
  <c r="E3" i="18"/>
  <c r="E2" i="18"/>
  <c r="G530" i="17"/>
  <c r="AD530" i="17" s="1"/>
  <c r="G515" i="17"/>
  <c r="AD515" i="17" s="1"/>
  <c r="G514" i="17"/>
  <c r="AD514" i="17" s="1"/>
  <c r="G513" i="17"/>
  <c r="AD513" i="17" s="1"/>
  <c r="G512" i="17"/>
  <c r="AD512" i="17" s="1"/>
  <c r="G511" i="17"/>
  <c r="AD511" i="17" s="1"/>
  <c r="G510" i="17"/>
  <c r="G484" i="17"/>
  <c r="G472" i="17"/>
  <c r="AD472" i="17" s="1"/>
  <c r="G471" i="17"/>
  <c r="AD471" i="17" s="1"/>
  <c r="G470" i="17"/>
  <c r="G371" i="17"/>
  <c r="G365" i="17"/>
  <c r="AD365" i="17" s="1"/>
  <c r="G364" i="17"/>
  <c r="AD364" i="17" s="1"/>
  <c r="G363" i="17"/>
  <c r="AD363" i="17" s="1"/>
  <c r="G362" i="17"/>
  <c r="AD362" i="17" s="1"/>
  <c r="G361" i="17"/>
  <c r="AD361" i="17" s="1"/>
  <c r="G360" i="17"/>
  <c r="AD360" i="17" s="1"/>
  <c r="G359" i="17"/>
  <c r="AD359" i="17" s="1"/>
  <c r="G358" i="17"/>
  <c r="AD358" i="17" s="1"/>
  <c r="G357" i="17"/>
  <c r="AD357" i="17" s="1"/>
  <c r="G356" i="17"/>
  <c r="AD356" i="17" s="1"/>
  <c r="G355" i="17"/>
  <c r="AD355" i="17" s="1"/>
  <c r="G354" i="17"/>
  <c r="AD354" i="17" s="1"/>
  <c r="G353" i="17"/>
  <c r="AD353" i="17" s="1"/>
  <c r="G352" i="17"/>
  <c r="AD352" i="17" s="1"/>
  <c r="G351" i="17"/>
  <c r="AD351" i="17" s="1"/>
  <c r="G350" i="17"/>
  <c r="AD350" i="17" s="1"/>
  <c r="G349" i="17"/>
  <c r="AD349" i="17" s="1"/>
  <c r="G347" i="17"/>
  <c r="AD347" i="17" s="1"/>
  <c r="G346" i="17"/>
  <c r="AD346" i="17" s="1"/>
  <c r="G345" i="17"/>
  <c r="AD345" i="17" s="1"/>
  <c r="G344" i="17"/>
  <c r="AD344" i="17" s="1"/>
  <c r="G343" i="17"/>
  <c r="AD343" i="17" s="1"/>
  <c r="G342" i="17"/>
  <c r="AD342" i="17" s="1"/>
  <c r="G341" i="17"/>
  <c r="AD341" i="17" s="1"/>
  <c r="G340" i="17"/>
  <c r="AD340" i="17" s="1"/>
  <c r="G339" i="17"/>
  <c r="AD339" i="17" s="1"/>
  <c r="G338" i="17"/>
  <c r="AD338" i="17" s="1"/>
  <c r="G337" i="17"/>
  <c r="AD337" i="17" s="1"/>
  <c r="G336" i="17"/>
  <c r="AD336" i="17" s="1"/>
  <c r="G335" i="17"/>
  <c r="AD335" i="17" s="1"/>
  <c r="G334" i="17"/>
  <c r="AD334" i="17" s="1"/>
  <c r="G333" i="17"/>
  <c r="AD333" i="17" s="1"/>
  <c r="G332" i="17"/>
  <c r="AD332" i="17" s="1"/>
  <c r="G331" i="17"/>
  <c r="AD331" i="17" s="1"/>
  <c r="G330" i="17"/>
  <c r="AD330" i="17" s="1"/>
  <c r="G329" i="17"/>
  <c r="AD329" i="17" s="1"/>
  <c r="G328" i="17"/>
  <c r="AD328" i="17" s="1"/>
  <c r="G327" i="17"/>
  <c r="AD327" i="17" s="1"/>
  <c r="G326" i="17"/>
  <c r="AD326" i="17" s="1"/>
  <c r="G325" i="17"/>
  <c r="AD325" i="17" s="1"/>
  <c r="G324" i="17"/>
  <c r="AD324" i="17" s="1"/>
  <c r="G323" i="17"/>
  <c r="AD323" i="17" s="1"/>
  <c r="G322" i="17"/>
  <c r="AD322" i="17" s="1"/>
  <c r="G321" i="17"/>
  <c r="AD321" i="17" s="1"/>
  <c r="G320" i="17"/>
  <c r="AD320" i="17" s="1"/>
  <c r="G319" i="17"/>
  <c r="AD319" i="17" s="1"/>
  <c r="G318" i="17"/>
  <c r="AD318" i="17" s="1"/>
  <c r="G298" i="17"/>
  <c r="AD298" i="17" s="1"/>
  <c r="G297" i="17"/>
  <c r="AD297" i="17" s="1"/>
  <c r="G296" i="17"/>
  <c r="AD296" i="17" s="1"/>
  <c r="G295" i="17"/>
  <c r="AD295" i="17" s="1"/>
  <c r="G294" i="17"/>
  <c r="AD294" i="17" s="1"/>
  <c r="G293" i="17"/>
  <c r="AD293" i="17" s="1"/>
  <c r="G292" i="17"/>
  <c r="AD292" i="17" s="1"/>
  <c r="G291" i="17"/>
  <c r="AD291" i="17" s="1"/>
  <c r="G269" i="17"/>
  <c r="AD269" i="17" s="1"/>
  <c r="G268" i="17"/>
  <c r="AD268" i="17" s="1"/>
  <c r="G242" i="17"/>
  <c r="AD242" i="17" s="1"/>
  <c r="G241" i="17"/>
  <c r="AD241" i="17" s="1"/>
  <c r="G240" i="17"/>
  <c r="AD240" i="17" s="1"/>
  <c r="G239" i="17"/>
  <c r="AD239" i="17" s="1"/>
  <c r="G238" i="17"/>
  <c r="AD238" i="17" s="1"/>
  <c r="G237" i="17"/>
  <c r="AD237" i="17" s="1"/>
  <c r="G236" i="17"/>
  <c r="AD236" i="17" s="1"/>
  <c r="G235" i="17"/>
  <c r="AD235" i="17" s="1"/>
  <c r="G234" i="17"/>
  <c r="AD234" i="17" s="1"/>
  <c r="G233" i="17"/>
  <c r="AD233" i="17" s="1"/>
  <c r="G232" i="17"/>
  <c r="AD232" i="17" s="1"/>
  <c r="G231" i="17"/>
  <c r="AD231" i="17" s="1"/>
  <c r="G230" i="17"/>
  <c r="AD230" i="17" s="1"/>
  <c r="G229" i="17"/>
  <c r="AD229" i="17" s="1"/>
  <c r="G228" i="17"/>
  <c r="AD228" i="17" s="1"/>
  <c r="G226" i="17"/>
  <c r="AD226" i="17" s="1"/>
  <c r="G225" i="17"/>
  <c r="AD225" i="17" s="1"/>
  <c r="G224" i="17"/>
  <c r="AD224" i="17" s="1"/>
  <c r="G223" i="17"/>
  <c r="AD223" i="17" s="1"/>
  <c r="G222" i="17"/>
  <c r="AD222" i="17" s="1"/>
  <c r="G221" i="17"/>
  <c r="AD221" i="17" s="1"/>
  <c r="G220" i="17"/>
  <c r="AD220" i="17" s="1"/>
  <c r="G219" i="17"/>
  <c r="AD219" i="17" s="1"/>
  <c r="G218" i="17"/>
  <c r="AD218" i="17" s="1"/>
  <c r="G217" i="17"/>
  <c r="AD217" i="17" s="1"/>
  <c r="G216" i="17"/>
  <c r="AD216" i="17" s="1"/>
  <c r="G215" i="17"/>
  <c r="AD215" i="17" s="1"/>
  <c r="G214" i="17"/>
  <c r="AD214" i="17" s="1"/>
  <c r="G213" i="17"/>
  <c r="AD213" i="17" s="1"/>
  <c r="G199" i="17"/>
  <c r="AD199" i="17" s="1"/>
  <c r="G198" i="17"/>
  <c r="AD198" i="17" s="1"/>
  <c r="G197" i="17"/>
  <c r="AD197" i="17" s="1"/>
  <c r="G196" i="17"/>
  <c r="AD196" i="17" s="1"/>
  <c r="G195" i="17"/>
  <c r="AD195" i="17" s="1"/>
  <c r="G194" i="17"/>
  <c r="AD194" i="17" s="1"/>
  <c r="G193" i="17"/>
  <c r="AD193" i="17" s="1"/>
  <c r="G192" i="17"/>
  <c r="AD192" i="17" s="1"/>
  <c r="G190" i="17"/>
  <c r="AD190" i="17" s="1"/>
  <c r="G189" i="17"/>
  <c r="AD189" i="17" s="1"/>
  <c r="R177" i="17"/>
  <c r="R175" i="17"/>
  <c r="R173" i="17"/>
  <c r="G172" i="17"/>
  <c r="AD172" i="17" s="1"/>
  <c r="R166" i="17"/>
  <c r="R165" i="17"/>
  <c r="R164" i="17"/>
  <c r="R162" i="17"/>
  <c r="R161" i="17"/>
  <c r="R154" i="17"/>
  <c r="R99" i="17"/>
  <c r="R85" i="17"/>
  <c r="G84" i="17"/>
  <c r="G83" i="17" s="1"/>
  <c r="G79" i="17"/>
  <c r="AD79" i="17" s="1"/>
  <c r="R77" i="17"/>
  <c r="R76" i="17"/>
  <c r="G75" i="17"/>
  <c r="AD75" i="17" s="1"/>
  <c r="G73" i="17"/>
  <c r="AD73" i="17" s="1"/>
  <c r="M66" i="17"/>
  <c r="G62" i="17"/>
  <c r="AD62" i="17" s="1"/>
  <c r="R60" i="17"/>
  <c r="G59" i="17"/>
  <c r="AD59" i="17" s="1"/>
  <c r="J58" i="17"/>
  <c r="M58" i="17" s="1"/>
  <c r="N58" i="17" s="1"/>
  <c r="J57" i="17"/>
  <c r="M57" i="17" s="1"/>
  <c r="N57" i="17" s="1"/>
  <c r="R57" i="17"/>
  <c r="R56" i="17"/>
  <c r="R55" i="17"/>
  <c r="R54" i="17"/>
  <c r="R53" i="17"/>
  <c r="R52" i="17"/>
  <c r="R51" i="17"/>
  <c r="G50" i="17"/>
  <c r="G48" i="17"/>
  <c r="G46" i="17"/>
  <c r="G40" i="17"/>
  <c r="AD40" i="17" s="1"/>
  <c r="G38" i="17"/>
  <c r="R32" i="17"/>
  <c r="R30" i="17"/>
  <c r="R29" i="17"/>
  <c r="G28" i="17"/>
  <c r="E25" i="17"/>
  <c r="R24" i="17"/>
  <c r="E23" i="17"/>
  <c r="E22" i="17"/>
  <c r="E21" i="17"/>
  <c r="E20" i="17"/>
  <c r="G19" i="17"/>
  <c r="E9" i="17"/>
  <c r="G9" i="17" s="1"/>
  <c r="AD9" i="17" s="1"/>
  <c r="E5" i="16"/>
  <c r="E4" i="16"/>
  <c r="E3" i="16"/>
  <c r="E2" i="16"/>
  <c r="E6" i="16" s="1"/>
  <c r="D31" i="15"/>
  <c r="D43" i="15"/>
  <c r="D42" i="15"/>
  <c r="D40" i="15"/>
  <c r="D41" i="15"/>
  <c r="B39" i="15"/>
  <c r="D39" i="15" s="1"/>
  <c r="D38" i="15"/>
  <c r="B26" i="15"/>
  <c r="D26" i="15" s="1"/>
  <c r="D25" i="15"/>
  <c r="B15" i="15"/>
  <c r="D15" i="15" s="1"/>
  <c r="D14" i="15"/>
  <c r="D37" i="15"/>
  <c r="D36" i="15"/>
  <c r="D35" i="15"/>
  <c r="D34" i="15"/>
  <c r="E22" i="14"/>
  <c r="E21" i="14"/>
  <c r="D30" i="15"/>
  <c r="D29" i="15"/>
  <c r="D22" i="15"/>
  <c r="D23" i="15"/>
  <c r="D28" i="15"/>
  <c r="D27" i="15"/>
  <c r="D24" i="15"/>
  <c r="D21" i="15"/>
  <c r="D20" i="15"/>
  <c r="D32" i="15" s="1"/>
  <c r="D13" i="15"/>
  <c r="D12" i="15"/>
  <c r="D11" i="15"/>
  <c r="D17" i="15"/>
  <c r="D16" i="15"/>
  <c r="D6" i="15"/>
  <c r="D8" i="15"/>
  <c r="D7" i="15"/>
  <c r="D4" i="15"/>
  <c r="D5" i="15"/>
  <c r="D3" i="15"/>
  <c r="B17" i="14"/>
  <c r="D17" i="14"/>
  <c r="C17" i="14"/>
  <c r="G7" i="11"/>
  <c r="G10" i="11"/>
  <c r="G16" i="11"/>
  <c r="G22" i="11"/>
  <c r="G23" i="11"/>
  <c r="G24" i="11"/>
  <c r="G33" i="11"/>
  <c r="G40" i="11"/>
  <c r="G43" i="11"/>
  <c r="G49" i="11"/>
  <c r="G51" i="11"/>
  <c r="G52" i="11"/>
  <c r="G53" i="11"/>
  <c r="G64" i="11"/>
  <c r="G68" i="11"/>
  <c r="G72" i="11"/>
  <c r="G73" i="11"/>
  <c r="G74" i="11"/>
  <c r="G84" i="11"/>
  <c r="G85" i="11"/>
  <c r="G92" i="11"/>
  <c r="G93" i="11"/>
  <c r="E96" i="11"/>
  <c r="G96" i="11" s="1"/>
  <c r="E95" i="11"/>
  <c r="G95" i="11" s="1"/>
  <c r="E94" i="11"/>
  <c r="G94" i="11" s="1"/>
  <c r="E91" i="11"/>
  <c r="G91" i="11" s="1"/>
  <c r="E90" i="11"/>
  <c r="G90" i="11" s="1"/>
  <c r="E89" i="11"/>
  <c r="G89" i="11" s="1"/>
  <c r="E88" i="11"/>
  <c r="G88" i="11" s="1"/>
  <c r="E87" i="11"/>
  <c r="G87" i="11" s="1"/>
  <c r="E86" i="11"/>
  <c r="G86" i="11" s="1"/>
  <c r="E83" i="11"/>
  <c r="G83" i="11" s="1"/>
  <c r="E82" i="11"/>
  <c r="G82" i="11" s="1"/>
  <c r="E81" i="11"/>
  <c r="G81" i="11" s="1"/>
  <c r="E80" i="11"/>
  <c r="G80" i="11" s="1"/>
  <c r="E79" i="11"/>
  <c r="G79" i="11" s="1"/>
  <c r="E78" i="11"/>
  <c r="G78" i="11" s="1"/>
  <c r="E77" i="11"/>
  <c r="G77" i="11" s="1"/>
  <c r="E76" i="11"/>
  <c r="G76" i="11" s="1"/>
  <c r="E75" i="11"/>
  <c r="G75" i="11" s="1"/>
  <c r="E71" i="11"/>
  <c r="G71" i="11" s="1"/>
  <c r="E70" i="11"/>
  <c r="G70" i="11" s="1"/>
  <c r="E69" i="11"/>
  <c r="G69" i="11" s="1"/>
  <c r="E67" i="11"/>
  <c r="G67" i="11" s="1"/>
  <c r="E66" i="11"/>
  <c r="G66" i="11" s="1"/>
  <c r="E65" i="11"/>
  <c r="G65" i="11" s="1"/>
  <c r="E63" i="11"/>
  <c r="G63" i="11" s="1"/>
  <c r="E62" i="11"/>
  <c r="G62" i="11" s="1"/>
  <c r="E61" i="11"/>
  <c r="G61" i="11" s="1"/>
  <c r="E60" i="11"/>
  <c r="G60" i="11" s="1"/>
  <c r="E59" i="11"/>
  <c r="G59" i="11" s="1"/>
  <c r="E58" i="11"/>
  <c r="G58" i="11" s="1"/>
  <c r="E57" i="11"/>
  <c r="G57" i="11" s="1"/>
  <c r="E56" i="11"/>
  <c r="G56" i="11" s="1"/>
  <c r="E55" i="11"/>
  <c r="G55" i="11" s="1"/>
  <c r="E54" i="11"/>
  <c r="G54" i="11" s="1"/>
  <c r="E50" i="11"/>
  <c r="G50" i="11" s="1"/>
  <c r="E48" i="11"/>
  <c r="G48" i="11" s="1"/>
  <c r="E47" i="11"/>
  <c r="G47" i="11" s="1"/>
  <c r="E46" i="11"/>
  <c r="G46" i="11" s="1"/>
  <c r="E45" i="11"/>
  <c r="G45" i="11" s="1"/>
  <c r="E44" i="11"/>
  <c r="G44" i="11" s="1"/>
  <c r="E42" i="11"/>
  <c r="G42" i="11" s="1"/>
  <c r="E41" i="11"/>
  <c r="G41" i="11" s="1"/>
  <c r="E39" i="11"/>
  <c r="G39" i="11" s="1"/>
  <c r="E38" i="11"/>
  <c r="G38" i="11" s="1"/>
  <c r="E37" i="11"/>
  <c r="G37" i="11" s="1"/>
  <c r="E36" i="11"/>
  <c r="G36" i="11" s="1"/>
  <c r="E35" i="11"/>
  <c r="G35" i="11" s="1"/>
  <c r="E34" i="11"/>
  <c r="G34" i="11" s="1"/>
  <c r="E32" i="11"/>
  <c r="G32" i="11" s="1"/>
  <c r="E31" i="11"/>
  <c r="G31" i="11" s="1"/>
  <c r="E30" i="11"/>
  <c r="G30" i="11" s="1"/>
  <c r="E29" i="11"/>
  <c r="G29" i="11" s="1"/>
  <c r="E28" i="11"/>
  <c r="G28" i="11" s="1"/>
  <c r="E27" i="11"/>
  <c r="G27" i="11" s="1"/>
  <c r="E26" i="11"/>
  <c r="G26" i="11" s="1"/>
  <c r="E25" i="11"/>
  <c r="G25" i="11" s="1"/>
  <c r="E21" i="11"/>
  <c r="G21" i="11" s="1"/>
  <c r="E20" i="11"/>
  <c r="G20" i="11" s="1"/>
  <c r="E19" i="11"/>
  <c r="G19" i="11" s="1"/>
  <c r="E18" i="11"/>
  <c r="G18" i="11" s="1"/>
  <c r="E17" i="11"/>
  <c r="G17" i="11" s="1"/>
  <c r="E15" i="11"/>
  <c r="G15" i="11" s="1"/>
  <c r="E14" i="11"/>
  <c r="G14" i="11" s="1"/>
  <c r="E13" i="11"/>
  <c r="G13" i="11" s="1"/>
  <c r="E12" i="11"/>
  <c r="G12" i="11" s="1"/>
  <c r="E11" i="11"/>
  <c r="G11" i="11" s="1"/>
  <c r="E9" i="11"/>
  <c r="G9" i="11" s="1"/>
  <c r="E8" i="11"/>
  <c r="G8" i="11" s="1"/>
  <c r="E6" i="11"/>
  <c r="G6" i="11" s="1"/>
  <c r="E5" i="11"/>
  <c r="G5" i="11" s="1"/>
  <c r="E4" i="11"/>
  <c r="G4" i="11" s="1"/>
  <c r="E3" i="11"/>
  <c r="G3" i="11" s="1"/>
  <c r="B8" i="9"/>
  <c r="D8" i="9" s="1"/>
  <c r="B7" i="9"/>
  <c r="D7" i="9" s="1"/>
  <c r="B6" i="9"/>
  <c r="D6" i="9" s="1"/>
  <c r="B5" i="9"/>
  <c r="D5" i="9" s="1"/>
  <c r="B4" i="9"/>
  <c r="D4" i="9" s="1"/>
  <c r="B3" i="9"/>
  <c r="D3" i="9" s="1"/>
  <c r="D6" i="8"/>
  <c r="D3" i="8"/>
  <c r="B6" i="7"/>
  <c r="B5" i="7"/>
  <c r="B4" i="7"/>
  <c r="B3" i="7"/>
  <c r="B2" i="7"/>
  <c r="B6" i="6"/>
  <c r="C6" i="6" s="1"/>
  <c r="B5" i="6"/>
  <c r="C5" i="6" s="1"/>
  <c r="B4" i="6"/>
  <c r="C4" i="6" s="1"/>
  <c r="B3" i="6"/>
  <c r="C3" i="6" s="1"/>
  <c r="E3" i="6" s="1"/>
  <c r="B2" i="6"/>
  <c r="C2" i="6" s="1"/>
  <c r="E2" i="6" s="1"/>
  <c r="D142" i="5"/>
  <c r="D143" i="5" s="1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1" i="5"/>
  <c r="D100" i="5"/>
  <c r="D99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F102" i="2"/>
  <c r="F103" i="2"/>
  <c r="G97" i="2"/>
  <c r="H97" i="2" s="1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6" i="3"/>
  <c r="D105" i="3"/>
  <c r="D104" i="3"/>
  <c r="D107" i="3"/>
  <c r="D101" i="3"/>
  <c r="D100" i="3"/>
  <c r="D99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6" i="3"/>
  <c r="D75" i="3"/>
  <c r="D74" i="3"/>
  <c r="D73" i="3"/>
  <c r="D72" i="3"/>
  <c r="D69" i="3"/>
  <c r="D71" i="3"/>
  <c r="D70" i="3"/>
  <c r="D68" i="3"/>
  <c r="D67" i="3"/>
  <c r="D66" i="3"/>
  <c r="D65" i="3"/>
  <c r="D64" i="3"/>
  <c r="D63" i="3"/>
  <c r="D62" i="3"/>
  <c r="D61" i="3"/>
  <c r="D58" i="3"/>
  <c r="D60" i="3"/>
  <c r="D57" i="3"/>
  <c r="D56" i="3"/>
  <c r="D54" i="3"/>
  <c r="D55" i="3"/>
  <c r="D53" i="3"/>
  <c r="D51" i="3"/>
  <c r="D52" i="3"/>
  <c r="D39" i="3"/>
  <c r="D50" i="3"/>
  <c r="D49" i="3"/>
  <c r="D48" i="3"/>
  <c r="D47" i="3"/>
  <c r="D46" i="3"/>
  <c r="D45" i="3"/>
  <c r="D44" i="3"/>
  <c r="D43" i="3"/>
  <c r="D42" i="3"/>
  <c r="D41" i="3"/>
  <c r="D40" i="3"/>
  <c r="D37" i="3"/>
  <c r="D36" i="3"/>
  <c r="D34" i="3"/>
  <c r="D33" i="3"/>
  <c r="D31" i="3"/>
  <c r="D30" i="3"/>
  <c r="D29" i="3"/>
  <c r="D28" i="3"/>
  <c r="D27" i="3"/>
  <c r="D26" i="3"/>
  <c r="D35" i="3"/>
  <c r="D32" i="3"/>
  <c r="D25" i="3"/>
  <c r="D8" i="3"/>
  <c r="D5" i="3"/>
  <c r="D6" i="3"/>
  <c r="D7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4" i="3"/>
  <c r="E75" i="2"/>
  <c r="E95" i="2"/>
  <c r="E96" i="2"/>
  <c r="E94" i="2"/>
  <c r="E86" i="2"/>
  <c r="E91" i="2"/>
  <c r="E90" i="2"/>
  <c r="E89" i="2"/>
  <c r="E88" i="2"/>
  <c r="E87" i="2"/>
  <c r="E82" i="2"/>
  <c r="E83" i="2"/>
  <c r="E81" i="2"/>
  <c r="E80" i="2"/>
  <c r="E79" i="2"/>
  <c r="E78" i="2"/>
  <c r="E77" i="2"/>
  <c r="E76" i="2"/>
  <c r="E71" i="2"/>
  <c r="E70" i="2"/>
  <c r="E69" i="2"/>
  <c r="E50" i="2"/>
  <c r="E66" i="2"/>
  <c r="E67" i="2"/>
  <c r="E65" i="2"/>
  <c r="E63" i="2"/>
  <c r="E62" i="2"/>
  <c r="E61" i="2"/>
  <c r="E60" i="2"/>
  <c r="E59" i="2"/>
  <c r="E58" i="2"/>
  <c r="E57" i="2"/>
  <c r="E56" i="2"/>
  <c r="E55" i="2"/>
  <c r="E54" i="2"/>
  <c r="E42" i="2"/>
  <c r="E41" i="2"/>
  <c r="E48" i="2"/>
  <c r="E47" i="2"/>
  <c r="E46" i="2"/>
  <c r="E45" i="2"/>
  <c r="E44" i="2"/>
  <c r="E39" i="2"/>
  <c r="E38" i="2"/>
  <c r="E37" i="2"/>
  <c r="E36" i="2"/>
  <c r="E35" i="2"/>
  <c r="E34" i="2"/>
  <c r="E32" i="2"/>
  <c r="E31" i="2"/>
  <c r="E30" i="2"/>
  <c r="E29" i="2"/>
  <c r="E28" i="2"/>
  <c r="E27" i="2"/>
  <c r="E26" i="2"/>
  <c r="E25" i="2"/>
  <c r="E21" i="2"/>
  <c r="E20" i="2"/>
  <c r="E17" i="2"/>
  <c r="E18" i="2"/>
  <c r="E19" i="2"/>
  <c r="E15" i="2"/>
  <c r="E14" i="2"/>
  <c r="E13" i="2"/>
  <c r="E12" i="2"/>
  <c r="E11" i="2"/>
  <c r="E9" i="2"/>
  <c r="E8" i="2"/>
  <c r="E4" i="2"/>
  <c r="E5" i="2"/>
  <c r="E6" i="2"/>
  <c r="E3" i="2"/>
  <c r="G47" i="17" l="1"/>
  <c r="AD47" i="17" s="1"/>
  <c r="AD48" i="17"/>
  <c r="G45" i="17"/>
  <c r="AD45" i="17" s="1"/>
  <c r="AD46" i="17"/>
  <c r="AD28" i="17"/>
  <c r="G49" i="17"/>
  <c r="AD49" i="17" s="1"/>
  <c r="AD50" i="17"/>
  <c r="G370" i="17"/>
  <c r="AD371" i="17"/>
  <c r="AD19" i="17"/>
  <c r="G469" i="17"/>
  <c r="AD470" i="17"/>
  <c r="AD83" i="17"/>
  <c r="AD86" i="17" s="1"/>
  <c r="G86" i="17"/>
  <c r="G37" i="17"/>
  <c r="AD38" i="17"/>
  <c r="G483" i="17"/>
  <c r="AD483" i="17" s="1"/>
  <c r="AD484" i="17"/>
  <c r="AD510" i="17"/>
  <c r="G509" i="17"/>
  <c r="G212" i="17"/>
  <c r="U48" i="17"/>
  <c r="V48" i="17" s="1"/>
  <c r="R197" i="17"/>
  <c r="U197" i="17"/>
  <c r="V197" i="17" s="1"/>
  <c r="R231" i="17"/>
  <c r="U231" i="17"/>
  <c r="V231" i="17" s="1"/>
  <c r="R297" i="17"/>
  <c r="U297" i="17"/>
  <c r="V297" i="17" s="1"/>
  <c r="R336" i="17"/>
  <c r="U336" i="17"/>
  <c r="V336" i="17" s="1"/>
  <c r="R357" i="17"/>
  <c r="U357" i="17"/>
  <c r="V357" i="17" s="1"/>
  <c r="R513" i="17"/>
  <c r="U513" i="17"/>
  <c r="V513" i="17" s="1"/>
  <c r="R198" i="17"/>
  <c r="U198" i="17"/>
  <c r="V198" i="17" s="1"/>
  <c r="R232" i="17"/>
  <c r="U232" i="17"/>
  <c r="V232" i="17" s="1"/>
  <c r="R298" i="17"/>
  <c r="U298" i="17"/>
  <c r="V298" i="17" s="1"/>
  <c r="R337" i="17"/>
  <c r="U337" i="17"/>
  <c r="V337" i="17" s="1"/>
  <c r="R358" i="17"/>
  <c r="U358" i="17"/>
  <c r="V358" i="17" s="1"/>
  <c r="R514" i="17"/>
  <c r="U514" i="17"/>
  <c r="V514" i="17" s="1"/>
  <c r="R199" i="17"/>
  <c r="U199" i="17"/>
  <c r="V199" i="17" s="1"/>
  <c r="R233" i="17"/>
  <c r="U233" i="17"/>
  <c r="V233" i="17" s="1"/>
  <c r="R318" i="17"/>
  <c r="U318" i="17"/>
  <c r="V318" i="17" s="1"/>
  <c r="R338" i="17"/>
  <c r="U338" i="17"/>
  <c r="V338" i="17" s="1"/>
  <c r="R359" i="17"/>
  <c r="U359" i="17"/>
  <c r="V359" i="17" s="1"/>
  <c r="R515" i="17"/>
  <c r="U515" i="17"/>
  <c r="V515" i="17" s="1"/>
  <c r="R213" i="17"/>
  <c r="U213" i="17"/>
  <c r="V213" i="17" s="1"/>
  <c r="R234" i="17"/>
  <c r="U234" i="17"/>
  <c r="V234" i="17" s="1"/>
  <c r="R319" i="17"/>
  <c r="U319" i="17"/>
  <c r="V319" i="17" s="1"/>
  <c r="R339" i="17"/>
  <c r="U339" i="17"/>
  <c r="V339" i="17" s="1"/>
  <c r="R360" i="17"/>
  <c r="U360" i="17"/>
  <c r="V360" i="17" s="1"/>
  <c r="R530" i="17"/>
  <c r="U530" i="17"/>
  <c r="V530" i="17" s="1"/>
  <c r="R214" i="17"/>
  <c r="U214" i="17"/>
  <c r="V214" i="17" s="1"/>
  <c r="R235" i="17"/>
  <c r="U235" i="17"/>
  <c r="V235" i="17" s="1"/>
  <c r="R320" i="17"/>
  <c r="U320" i="17"/>
  <c r="V320" i="17" s="1"/>
  <c r="R340" i="17"/>
  <c r="U340" i="17"/>
  <c r="V340" i="17" s="1"/>
  <c r="R361" i="17"/>
  <c r="U361" i="17"/>
  <c r="V361" i="17" s="1"/>
  <c r="U9" i="17"/>
  <c r="V9" i="17" s="1"/>
  <c r="R215" i="17"/>
  <c r="U215" i="17"/>
  <c r="V215" i="17" s="1"/>
  <c r="R236" i="17"/>
  <c r="U236" i="17"/>
  <c r="V236" i="17" s="1"/>
  <c r="R321" i="17"/>
  <c r="U321" i="17"/>
  <c r="V321" i="17" s="1"/>
  <c r="R341" i="17"/>
  <c r="U341" i="17"/>
  <c r="V341" i="17" s="1"/>
  <c r="R362" i="17"/>
  <c r="U362" i="17"/>
  <c r="V362" i="17" s="1"/>
  <c r="R19" i="17"/>
  <c r="U19" i="17"/>
  <c r="V19" i="17" s="1"/>
  <c r="R216" i="17"/>
  <c r="U216" i="17"/>
  <c r="V216" i="17" s="1"/>
  <c r="R237" i="17"/>
  <c r="U237" i="17"/>
  <c r="V237" i="17" s="1"/>
  <c r="R322" i="17"/>
  <c r="U322" i="17"/>
  <c r="V322" i="17" s="1"/>
  <c r="R342" i="17"/>
  <c r="U342" i="17"/>
  <c r="V342" i="17" s="1"/>
  <c r="R363" i="17"/>
  <c r="U363" i="17"/>
  <c r="V363" i="17" s="1"/>
  <c r="R299" i="17"/>
  <c r="U299" i="17"/>
  <c r="R217" i="17"/>
  <c r="U217" i="17"/>
  <c r="V217" i="17" s="1"/>
  <c r="R238" i="17"/>
  <c r="U238" i="17"/>
  <c r="V238" i="17" s="1"/>
  <c r="R323" i="17"/>
  <c r="U323" i="17"/>
  <c r="V323" i="17" s="1"/>
  <c r="R343" i="17"/>
  <c r="U343" i="17"/>
  <c r="V343" i="17" s="1"/>
  <c r="R364" i="17"/>
  <c r="U364" i="17"/>
  <c r="V364" i="17" s="1"/>
  <c r="E31" i="17"/>
  <c r="G31" i="17" s="1"/>
  <c r="AD31" i="17" s="1"/>
  <c r="R218" i="17"/>
  <c r="U218" i="17"/>
  <c r="V218" i="17" s="1"/>
  <c r="R239" i="17"/>
  <c r="U239" i="17"/>
  <c r="V239" i="17" s="1"/>
  <c r="R324" i="17"/>
  <c r="U324" i="17"/>
  <c r="V324" i="17" s="1"/>
  <c r="R344" i="17"/>
  <c r="U344" i="17"/>
  <c r="V344" i="17" s="1"/>
  <c r="R365" i="17"/>
  <c r="U365" i="17"/>
  <c r="V365" i="17" s="1"/>
  <c r="U172" i="17"/>
  <c r="V172" i="17" s="1"/>
  <c r="R219" i="17"/>
  <c r="U219" i="17"/>
  <c r="V219" i="17" s="1"/>
  <c r="R240" i="17"/>
  <c r="U240" i="17"/>
  <c r="V240" i="17" s="1"/>
  <c r="R325" i="17"/>
  <c r="U325" i="17"/>
  <c r="V325" i="17" s="1"/>
  <c r="R345" i="17"/>
  <c r="U345" i="17"/>
  <c r="V345" i="17" s="1"/>
  <c r="R371" i="17"/>
  <c r="U371" i="17"/>
  <c r="V371" i="17" s="1"/>
  <c r="R220" i="17"/>
  <c r="U220" i="17"/>
  <c r="V220" i="17" s="1"/>
  <c r="R241" i="17"/>
  <c r="U241" i="17"/>
  <c r="V241" i="17" s="1"/>
  <c r="R326" i="17"/>
  <c r="U326" i="17"/>
  <c r="V326" i="17" s="1"/>
  <c r="R346" i="17"/>
  <c r="U346" i="17"/>
  <c r="V346" i="17" s="1"/>
  <c r="R221" i="17"/>
  <c r="U221" i="17"/>
  <c r="V221" i="17" s="1"/>
  <c r="R242" i="17"/>
  <c r="U242" i="17"/>
  <c r="V242" i="17" s="1"/>
  <c r="R327" i="17"/>
  <c r="U327" i="17"/>
  <c r="V327" i="17" s="1"/>
  <c r="R347" i="17"/>
  <c r="U347" i="17"/>
  <c r="V347" i="17" s="1"/>
  <c r="R470" i="17"/>
  <c r="U470" i="17"/>
  <c r="V470" i="17" s="1"/>
  <c r="R222" i="17"/>
  <c r="U222" i="17"/>
  <c r="V222" i="17" s="1"/>
  <c r="R268" i="17"/>
  <c r="U268" i="17"/>
  <c r="V268" i="17" s="1"/>
  <c r="R328" i="17"/>
  <c r="U328" i="17"/>
  <c r="V328" i="17" s="1"/>
  <c r="R349" i="17"/>
  <c r="U349" i="17"/>
  <c r="V349" i="17" s="1"/>
  <c r="U112" i="17"/>
  <c r="V112" i="17" s="1"/>
  <c r="U28" i="17"/>
  <c r="V28" i="17" s="1"/>
  <c r="R189" i="17"/>
  <c r="U189" i="17"/>
  <c r="V189" i="17" s="1"/>
  <c r="R223" i="17"/>
  <c r="U223" i="17"/>
  <c r="V223" i="17" s="1"/>
  <c r="R269" i="17"/>
  <c r="U269" i="17"/>
  <c r="V269" i="17" s="1"/>
  <c r="R329" i="17"/>
  <c r="U329" i="17"/>
  <c r="V329" i="17" s="1"/>
  <c r="R350" i="17"/>
  <c r="U350" i="17"/>
  <c r="V350" i="17" s="1"/>
  <c r="R471" i="17"/>
  <c r="U471" i="17"/>
  <c r="V471" i="17" s="1"/>
  <c r="R190" i="17"/>
  <c r="U190" i="17"/>
  <c r="V190" i="17" s="1"/>
  <c r="R224" i="17"/>
  <c r="U224" i="17"/>
  <c r="V224" i="17" s="1"/>
  <c r="R291" i="17"/>
  <c r="U291" i="17"/>
  <c r="V291" i="17" s="1"/>
  <c r="R330" i="17"/>
  <c r="U330" i="17"/>
  <c r="V330" i="17" s="1"/>
  <c r="R351" i="17"/>
  <c r="U351" i="17"/>
  <c r="V351" i="17" s="1"/>
  <c r="R472" i="17"/>
  <c r="U472" i="17"/>
  <c r="V472" i="17" s="1"/>
  <c r="R192" i="17"/>
  <c r="U192" i="17"/>
  <c r="V192" i="17" s="1"/>
  <c r="R225" i="17"/>
  <c r="U225" i="17"/>
  <c r="V225" i="17" s="1"/>
  <c r="R292" i="17"/>
  <c r="U292" i="17"/>
  <c r="V292" i="17" s="1"/>
  <c r="R331" i="17"/>
  <c r="U331" i="17"/>
  <c r="V331" i="17" s="1"/>
  <c r="R352" i="17"/>
  <c r="U352" i="17"/>
  <c r="V352" i="17" s="1"/>
  <c r="R193" i="17"/>
  <c r="U193" i="17"/>
  <c r="V193" i="17" s="1"/>
  <c r="R226" i="17"/>
  <c r="U226" i="17"/>
  <c r="V226" i="17" s="1"/>
  <c r="R293" i="17"/>
  <c r="U293" i="17"/>
  <c r="V293" i="17" s="1"/>
  <c r="R332" i="17"/>
  <c r="U332" i="17"/>
  <c r="V332" i="17" s="1"/>
  <c r="R353" i="17"/>
  <c r="U353" i="17"/>
  <c r="V353" i="17" s="1"/>
  <c r="U484" i="17"/>
  <c r="V484" i="17" s="1"/>
  <c r="R194" i="17"/>
  <c r="U194" i="17"/>
  <c r="V194" i="17" s="1"/>
  <c r="R228" i="17"/>
  <c r="U228" i="17"/>
  <c r="V228" i="17" s="1"/>
  <c r="R294" i="17"/>
  <c r="U294" i="17"/>
  <c r="V294" i="17" s="1"/>
  <c r="R333" i="17"/>
  <c r="U333" i="17"/>
  <c r="V333" i="17" s="1"/>
  <c r="R354" i="17"/>
  <c r="U354" i="17"/>
  <c r="V354" i="17" s="1"/>
  <c r="R510" i="17"/>
  <c r="U510" i="17"/>
  <c r="V510" i="17" s="1"/>
  <c r="R195" i="17"/>
  <c r="U195" i="17"/>
  <c r="V195" i="17" s="1"/>
  <c r="R229" i="17"/>
  <c r="U229" i="17"/>
  <c r="V229" i="17" s="1"/>
  <c r="R295" i="17"/>
  <c r="U295" i="17"/>
  <c r="V295" i="17" s="1"/>
  <c r="R334" i="17"/>
  <c r="U334" i="17"/>
  <c r="V334" i="17" s="1"/>
  <c r="R355" i="17"/>
  <c r="U355" i="17"/>
  <c r="V355" i="17" s="1"/>
  <c r="R511" i="17"/>
  <c r="U511" i="17"/>
  <c r="V511" i="17" s="1"/>
  <c r="U46" i="17"/>
  <c r="V46" i="17" s="1"/>
  <c r="R196" i="17"/>
  <c r="U196" i="17"/>
  <c r="V196" i="17" s="1"/>
  <c r="R230" i="17"/>
  <c r="U230" i="17"/>
  <c r="V230" i="17" s="1"/>
  <c r="R296" i="17"/>
  <c r="U296" i="17"/>
  <c r="V296" i="17" s="1"/>
  <c r="R335" i="17"/>
  <c r="U335" i="17"/>
  <c r="V335" i="17" s="1"/>
  <c r="R356" i="17"/>
  <c r="U356" i="17"/>
  <c r="V356" i="17" s="1"/>
  <c r="R512" i="17"/>
  <c r="U512" i="17"/>
  <c r="V512" i="17" s="1"/>
  <c r="G131" i="17"/>
  <c r="U132" i="17"/>
  <c r="V132" i="17" s="1"/>
  <c r="R84" i="17"/>
  <c r="U84" i="17"/>
  <c r="V84" i="17" s="1"/>
  <c r="U79" i="17"/>
  <c r="V79" i="17" s="1"/>
  <c r="R75" i="17"/>
  <c r="U75" i="17"/>
  <c r="V75" i="17" s="1"/>
  <c r="U73" i="17"/>
  <c r="V73" i="17" s="1"/>
  <c r="U62" i="17"/>
  <c r="V62" i="17" s="1"/>
  <c r="R59" i="17"/>
  <c r="U59" i="17"/>
  <c r="V59" i="17" s="1"/>
  <c r="R50" i="17"/>
  <c r="U50" i="17"/>
  <c r="V50" i="17" s="1"/>
  <c r="U40" i="17"/>
  <c r="V40" i="17" s="1"/>
  <c r="U38" i="17"/>
  <c r="V38" i="17" s="1"/>
  <c r="G25" i="17"/>
  <c r="AD25" i="17" s="1"/>
  <c r="G20" i="17"/>
  <c r="AD20" i="17" s="1"/>
  <c r="G23" i="17"/>
  <c r="AD23" i="17" s="1"/>
  <c r="G21" i="17"/>
  <c r="AD21" i="17" s="1"/>
  <c r="G22" i="17"/>
  <c r="AD22" i="17" s="1"/>
  <c r="E6" i="18"/>
  <c r="D9" i="15"/>
  <c r="D31" i="24"/>
  <c r="D224" i="34" s="1"/>
  <c r="D225" i="34" s="1"/>
  <c r="C42" i="28"/>
  <c r="D131" i="3"/>
  <c r="D18" i="15"/>
  <c r="D44" i="15"/>
  <c r="G102" i="2"/>
  <c r="E42" i="28"/>
  <c r="B54" i="22"/>
  <c r="G130" i="17"/>
  <c r="AD130" i="17" s="1"/>
  <c r="D224" i="30"/>
  <c r="D225" i="30" s="1"/>
  <c r="G122" i="17"/>
  <c r="AD122" i="17" s="1"/>
  <c r="G116" i="17"/>
  <c r="AD116" i="17" s="1"/>
  <c r="R172" i="17"/>
  <c r="G171" i="17"/>
  <c r="R28" i="17"/>
  <c r="G78" i="17"/>
  <c r="AD78" i="17" s="1"/>
  <c r="R79" i="17"/>
  <c r="R38" i="17"/>
  <c r="G61" i="17"/>
  <c r="R62" i="17"/>
  <c r="G39" i="17"/>
  <c r="AD39" i="17" s="1"/>
  <c r="R40" i="17"/>
  <c r="R132" i="17"/>
  <c r="R46" i="17"/>
  <c r="G72" i="17"/>
  <c r="R73" i="17"/>
  <c r="R48" i="17"/>
  <c r="R484" i="17"/>
  <c r="G111" i="17"/>
  <c r="AD111" i="17" s="1"/>
  <c r="R112" i="17"/>
  <c r="G529" i="17"/>
  <c r="G186" i="17"/>
  <c r="F2" i="20"/>
  <c r="D132" i="5"/>
  <c r="P66" i="17"/>
  <c r="G67" i="17" s="1"/>
  <c r="G348" i="17"/>
  <c r="AD348" i="17" s="1"/>
  <c r="G317" i="17"/>
  <c r="AD317" i="17" s="1"/>
  <c r="G243" i="17"/>
  <c r="AD243" i="17" s="1"/>
  <c r="G227" i="17"/>
  <c r="AD227" i="17" s="1"/>
  <c r="G290" i="17"/>
  <c r="AD290" i="17" s="1"/>
  <c r="U83" i="17"/>
  <c r="G402" i="17"/>
  <c r="AD402" i="17" s="1"/>
  <c r="G58" i="17"/>
  <c r="AD58" i="17" s="1"/>
  <c r="G74" i="17"/>
  <c r="AD74" i="17" s="1"/>
  <c r="E17" i="14"/>
  <c r="G98" i="11"/>
  <c r="B8" i="7"/>
  <c r="D10" i="9"/>
  <c r="E4" i="6"/>
  <c r="E5" i="6"/>
  <c r="E6" i="6"/>
  <c r="E98" i="2"/>
  <c r="AD186" i="17" l="1"/>
  <c r="AD209" i="17" s="1"/>
  <c r="G209" i="17"/>
  <c r="AD212" i="17"/>
  <c r="AD367" i="17" s="1"/>
  <c r="G367" i="17"/>
  <c r="AD529" i="17"/>
  <c r="AD532" i="17" s="1"/>
  <c r="G532" i="17"/>
  <c r="AD509" i="17"/>
  <c r="AD518" i="17" s="1"/>
  <c r="G518" i="17"/>
  <c r="G27" i="17"/>
  <c r="AD27" i="17" s="1"/>
  <c r="G183" i="17"/>
  <c r="AD171" i="17"/>
  <c r="AD183" i="17" s="1"/>
  <c r="AD469" i="17"/>
  <c r="AD506" i="17" s="1"/>
  <c r="G506" i="17"/>
  <c r="G18" i="17"/>
  <c r="AD18" i="17" s="1"/>
  <c r="AD67" i="17"/>
  <c r="AD69" i="17" s="1"/>
  <c r="G69" i="17"/>
  <c r="AD61" i="17"/>
  <c r="AD64" i="17" s="1"/>
  <c r="G64" i="17"/>
  <c r="U131" i="17"/>
  <c r="AD131" i="17"/>
  <c r="G42" i="17"/>
  <c r="AD37" i="17"/>
  <c r="AD42" i="17" s="1"/>
  <c r="G466" i="17"/>
  <c r="AD370" i="17"/>
  <c r="AD466" i="17" s="1"/>
  <c r="AD72" i="17"/>
  <c r="AD80" i="17" s="1"/>
  <c r="G80" i="17"/>
  <c r="U529" i="17"/>
  <c r="V529" i="17" s="1"/>
  <c r="U27" i="17"/>
  <c r="U171" i="17"/>
  <c r="V171" i="17" s="1"/>
  <c r="R483" i="17"/>
  <c r="U483" i="17"/>
  <c r="V483" i="17" s="1"/>
  <c r="R431" i="17"/>
  <c r="U431" i="17"/>
  <c r="V431" i="17" s="1"/>
  <c r="G115" i="17"/>
  <c r="AD115" i="17" s="1"/>
  <c r="U116" i="17"/>
  <c r="V116" i="17" s="1"/>
  <c r="U469" i="17"/>
  <c r="V469" i="17" s="1"/>
  <c r="R23" i="17"/>
  <c r="U23" i="17"/>
  <c r="V23" i="17" s="1"/>
  <c r="U20" i="17"/>
  <c r="V20" i="17" s="1"/>
  <c r="R391" i="17"/>
  <c r="U391" i="17"/>
  <c r="V391" i="17" s="1"/>
  <c r="R446" i="17"/>
  <c r="U446" i="17"/>
  <c r="R209" i="17"/>
  <c r="U186" i="17"/>
  <c r="U31" i="17"/>
  <c r="V31" i="17" s="1"/>
  <c r="R383" i="17"/>
  <c r="U383" i="17"/>
  <c r="R111" i="17"/>
  <c r="U111" i="17"/>
  <c r="R402" i="17"/>
  <c r="U402" i="17"/>
  <c r="V402" i="17" s="1"/>
  <c r="R290" i="17"/>
  <c r="U290" i="17"/>
  <c r="R47" i="17"/>
  <c r="U47" i="17"/>
  <c r="R22" i="17"/>
  <c r="U22" i="17"/>
  <c r="V22" i="17" s="1"/>
  <c r="R21" i="17"/>
  <c r="U21" i="17"/>
  <c r="V21" i="17" s="1"/>
  <c r="R227" i="17"/>
  <c r="U227" i="17"/>
  <c r="R122" i="17"/>
  <c r="U122" i="17"/>
  <c r="V122" i="17" s="1"/>
  <c r="R243" i="17"/>
  <c r="U243" i="17"/>
  <c r="R317" i="17"/>
  <c r="U317" i="17"/>
  <c r="R45" i="17"/>
  <c r="U45" i="17"/>
  <c r="R25" i="17"/>
  <c r="U25" i="17"/>
  <c r="V25" i="17" s="1"/>
  <c r="R212" i="17"/>
  <c r="U212" i="17"/>
  <c r="R348" i="17"/>
  <c r="U348" i="17"/>
  <c r="R131" i="17"/>
  <c r="R440" i="17"/>
  <c r="U440" i="17"/>
  <c r="V440" i="17" s="1"/>
  <c r="R370" i="17"/>
  <c r="U370" i="17"/>
  <c r="U509" i="17"/>
  <c r="V509" i="17" s="1"/>
  <c r="R130" i="17"/>
  <c r="U130" i="17"/>
  <c r="V130" i="17" s="1"/>
  <c r="R78" i="17"/>
  <c r="U78" i="17"/>
  <c r="V78" i="17" s="1"/>
  <c r="U74" i="17"/>
  <c r="V74" i="17" s="1"/>
  <c r="R72" i="17"/>
  <c r="U72" i="17"/>
  <c r="V72" i="17" s="1"/>
  <c r="U67" i="17"/>
  <c r="V67" i="17" s="1"/>
  <c r="R61" i="17"/>
  <c r="U61" i="17"/>
  <c r="R58" i="17"/>
  <c r="U58" i="17"/>
  <c r="R49" i="17"/>
  <c r="U49" i="17"/>
  <c r="R39" i="17"/>
  <c r="U39" i="17"/>
  <c r="V39" i="17" s="1"/>
  <c r="R37" i="17"/>
  <c r="U37" i="17"/>
  <c r="V37" i="17" s="1"/>
  <c r="G150" i="17"/>
  <c r="AD150" i="17" s="1"/>
  <c r="G153" i="17"/>
  <c r="AD153" i="17" s="1"/>
  <c r="G109" i="17"/>
  <c r="AD109" i="17" s="1"/>
  <c r="G94" i="17"/>
  <c r="AD94" i="17" s="1"/>
  <c r="G152" i="17"/>
  <c r="AD152" i="17" s="1"/>
  <c r="R20" i="17"/>
  <c r="G108" i="17"/>
  <c r="AD108" i="17" s="1"/>
  <c r="G91" i="17"/>
  <c r="AD91" i="17" s="1"/>
  <c r="G151" i="17"/>
  <c r="AD151" i="17" s="1"/>
  <c r="G123" i="17"/>
  <c r="AD123" i="17" s="1"/>
  <c r="G107" i="17"/>
  <c r="AD107" i="17" s="1"/>
  <c r="G129" i="17"/>
  <c r="AD129" i="17" s="1"/>
  <c r="R116" i="17"/>
  <c r="G114" i="17"/>
  <c r="AD114" i="17" s="1"/>
  <c r="B2" i="21"/>
  <c r="L2" i="14"/>
  <c r="G90" i="17"/>
  <c r="AD90" i="17" s="1"/>
  <c r="G160" i="17"/>
  <c r="AD160" i="17" s="1"/>
  <c r="B3" i="8"/>
  <c r="E3" i="8" s="1"/>
  <c r="G105" i="17"/>
  <c r="AD105" i="17" s="1"/>
  <c r="R171" i="17"/>
  <c r="R186" i="17"/>
  <c r="R67" i="17"/>
  <c r="R83" i="17"/>
  <c r="R469" i="17"/>
  <c r="R509" i="17"/>
  <c r="R529" i="17"/>
  <c r="R74" i="17"/>
  <c r="G124" i="17"/>
  <c r="AD124" i="17" s="1"/>
  <c r="D2" i="8"/>
  <c r="E2" i="8" s="1"/>
  <c r="E7" i="6"/>
  <c r="F98" i="2"/>
  <c r="R27" i="17" l="1"/>
  <c r="U160" i="17"/>
  <c r="V160" i="17" s="1"/>
  <c r="R90" i="17"/>
  <c r="U90" i="17"/>
  <c r="V90" i="17" s="1"/>
  <c r="U532" i="17"/>
  <c r="V532" i="17" s="1"/>
  <c r="R518" i="17"/>
  <c r="U518" i="17"/>
  <c r="V518" i="17" s="1"/>
  <c r="U114" i="17"/>
  <c r="V114" i="17" s="1"/>
  <c r="R115" i="17"/>
  <c r="U115" i="17"/>
  <c r="R506" i="17"/>
  <c r="U506" i="17"/>
  <c r="V506" i="17" s="1"/>
  <c r="R107" i="17"/>
  <c r="U107" i="17"/>
  <c r="V107" i="17" s="1"/>
  <c r="U124" i="17"/>
  <c r="V124" i="17" s="1"/>
  <c r="R150" i="17"/>
  <c r="U150" i="17"/>
  <c r="V150" i="17" s="1"/>
  <c r="R123" i="17"/>
  <c r="U123" i="17"/>
  <c r="V123" i="17" s="1"/>
  <c r="U151" i="17"/>
  <c r="V151" i="17" s="1"/>
  <c r="R91" i="17"/>
  <c r="U91" i="17"/>
  <c r="V91" i="17" s="1"/>
  <c r="U209" i="17"/>
  <c r="V209" i="17" s="1"/>
  <c r="R108" i="17"/>
  <c r="U108" i="17"/>
  <c r="V108" i="17" s="1"/>
  <c r="R183" i="17"/>
  <c r="U183" i="17"/>
  <c r="V183" i="17" s="1"/>
  <c r="R152" i="17"/>
  <c r="U152" i="17"/>
  <c r="V152" i="17" s="1"/>
  <c r="U105" i="17"/>
  <c r="V105" i="17" s="1"/>
  <c r="R94" i="17"/>
  <c r="U94" i="17"/>
  <c r="V94" i="17" s="1"/>
  <c r="R466" i="17"/>
  <c r="U466" i="17"/>
  <c r="R109" i="17"/>
  <c r="U109" i="17"/>
  <c r="V109" i="17" s="1"/>
  <c r="R367" i="17"/>
  <c r="U367" i="17"/>
  <c r="V367" i="17" s="1"/>
  <c r="R18" i="17"/>
  <c r="U18" i="17"/>
  <c r="R153" i="17"/>
  <c r="U153" i="17"/>
  <c r="V153" i="17" s="1"/>
  <c r="R129" i="17"/>
  <c r="U129" i="17"/>
  <c r="R86" i="17"/>
  <c r="U86" i="17"/>
  <c r="R80" i="17"/>
  <c r="U80" i="17"/>
  <c r="V80" i="17" s="1"/>
  <c r="R69" i="17"/>
  <c r="U69" i="17"/>
  <c r="V69" i="17" s="1"/>
  <c r="R64" i="17"/>
  <c r="U64" i="17"/>
  <c r="R42" i="17"/>
  <c r="U42" i="17"/>
  <c r="V42" i="17" s="1"/>
  <c r="G149" i="17"/>
  <c r="G163" i="17"/>
  <c r="AD163" i="17" s="1"/>
  <c r="R151" i="17"/>
  <c r="G101" i="17"/>
  <c r="AD101" i="17" s="1"/>
  <c r="G106" i="17"/>
  <c r="AD106" i="17" s="1"/>
  <c r="G92" i="17"/>
  <c r="AD92" i="17" s="1"/>
  <c r="G126" i="17"/>
  <c r="AD126" i="17" s="1"/>
  <c r="R114" i="17"/>
  <c r="G113" i="17"/>
  <c r="AD113" i="17" s="1"/>
  <c r="B1" i="21"/>
  <c r="B4" i="21" s="1"/>
  <c r="R105" i="17"/>
  <c r="R160" i="17"/>
  <c r="R532" i="17"/>
  <c r="R124" i="17"/>
  <c r="D5" i="8"/>
  <c r="E5" i="8" s="1"/>
  <c r="B6" i="8"/>
  <c r="E6" i="8" s="1"/>
  <c r="G98" i="2"/>
  <c r="F99" i="2"/>
  <c r="U149" i="17" l="1"/>
  <c r="G156" i="17"/>
  <c r="R156" i="17" s="1"/>
  <c r="AD149" i="17"/>
  <c r="AD156" i="17" s="1"/>
  <c r="R149" i="17"/>
  <c r="R113" i="17"/>
  <c r="U113" i="17"/>
  <c r="R126" i="17"/>
  <c r="U126" i="17"/>
  <c r="V126" i="17" s="1"/>
  <c r="R92" i="17"/>
  <c r="U92" i="17"/>
  <c r="V92" i="17" s="1"/>
  <c r="R106" i="17"/>
  <c r="U106" i="17"/>
  <c r="V106" i="17" s="1"/>
  <c r="R101" i="17"/>
  <c r="U101" i="17"/>
  <c r="V101" i="17" s="1"/>
  <c r="R163" i="17"/>
  <c r="U163" i="17"/>
  <c r="V163" i="17" s="1"/>
  <c r="G159" i="17"/>
  <c r="G104" i="17"/>
  <c r="AD104" i="17" s="1"/>
  <c r="G127" i="17"/>
  <c r="AD127" i="17" s="1"/>
  <c r="G128" i="17"/>
  <c r="AD128" i="17" s="1"/>
  <c r="G100" i="17"/>
  <c r="AD100" i="17" s="1"/>
  <c r="G125" i="17"/>
  <c r="AD125" i="17" s="1"/>
  <c r="G93" i="17"/>
  <c r="AD93" i="17" s="1"/>
  <c r="E8" i="8"/>
  <c r="F100" i="2"/>
  <c r="G99" i="2"/>
  <c r="H102" i="2"/>
  <c r="G8" i="17"/>
  <c r="R11" i="17"/>
  <c r="R13" i="17"/>
  <c r="R16" i="17"/>
  <c r="R10" i="17"/>
  <c r="R15" i="17"/>
  <c r="R14" i="17"/>
  <c r="R9" i="17"/>
  <c r="R12" i="17"/>
  <c r="AD8" i="17" l="1"/>
  <c r="G7" i="17"/>
  <c r="U159" i="17"/>
  <c r="AD159" i="17"/>
  <c r="AD168" i="17" s="1"/>
  <c r="G168" i="17"/>
  <c r="U156" i="17"/>
  <c r="V156" i="17" s="1"/>
  <c r="R159" i="17"/>
  <c r="R8" i="17"/>
  <c r="U8" i="17"/>
  <c r="V8" i="17" s="1"/>
  <c r="U93" i="17"/>
  <c r="V93" i="17" s="1"/>
  <c r="U125" i="17"/>
  <c r="V125" i="17" s="1"/>
  <c r="R100" i="17"/>
  <c r="U100" i="17"/>
  <c r="V100" i="17" s="1"/>
  <c r="R128" i="17"/>
  <c r="U128" i="17"/>
  <c r="V128" i="17" s="1"/>
  <c r="R127" i="17"/>
  <c r="U127" i="17"/>
  <c r="V127" i="17" s="1"/>
  <c r="R104" i="17"/>
  <c r="U104" i="17"/>
  <c r="G98" i="17"/>
  <c r="AD98" i="17" s="1"/>
  <c r="R93" i="17"/>
  <c r="G89" i="17"/>
  <c r="R125" i="17"/>
  <c r="G121" i="17"/>
  <c r="AD89" i="17" l="1"/>
  <c r="R168" i="17"/>
  <c r="G34" i="17"/>
  <c r="AD7" i="17"/>
  <c r="AD34" i="17" s="1"/>
  <c r="U168" i="17"/>
  <c r="V168" i="17" s="1"/>
  <c r="G133" i="17"/>
  <c r="AD121" i="17"/>
  <c r="AD133" i="17" s="1"/>
  <c r="U121" i="17"/>
  <c r="U89" i="17"/>
  <c r="U98" i="17"/>
  <c r="V98" i="17" s="1"/>
  <c r="G102" i="17"/>
  <c r="AD102" i="17" s="1"/>
  <c r="R89" i="17"/>
  <c r="R98" i="17"/>
  <c r="R121" i="17"/>
  <c r="R7" i="17"/>
  <c r="R133" i="17" l="1"/>
  <c r="U34" i="17"/>
  <c r="U133" i="17"/>
  <c r="R102" i="17"/>
  <c r="U102" i="17"/>
  <c r="V102" i="17" s="1"/>
  <c r="G97" i="17"/>
  <c r="R34" i="17"/>
  <c r="AD97" i="17" l="1"/>
  <c r="AD118" i="17" s="1"/>
  <c r="AD535" i="17" s="1"/>
  <c r="G118" i="17"/>
  <c r="G535" i="17" s="1"/>
  <c r="R97" i="17"/>
  <c r="U97" i="17"/>
  <c r="V97" i="17" s="1"/>
  <c r="G539" i="17" l="1"/>
  <c r="G537" i="17"/>
  <c r="AD539" i="17"/>
  <c r="AD537" i="17"/>
  <c r="AD541" i="17" s="1"/>
  <c r="Z538" i="17"/>
  <c r="Z541" i="17" s="1"/>
  <c r="Z543" i="17" s="1"/>
  <c r="Z580" i="17" s="1"/>
  <c r="R118" i="17"/>
  <c r="R534" i="17" s="1"/>
  <c r="U118" i="17"/>
  <c r="V118" i="17" s="1"/>
  <c r="AD543" i="17" l="1"/>
  <c r="AD580" i="17" s="1"/>
  <c r="R535" i="17"/>
  <c r="U535" i="17"/>
  <c r="V535" i="17" s="1"/>
  <c r="G538" i="17"/>
  <c r="G543" i="17" l="1"/>
  <c r="G580" i="17" s="1"/>
  <c r="G541" i="17"/>
  <c r="U539" i="17"/>
  <c r="V539" i="17" s="1"/>
  <c r="U537" i="17"/>
  <c r="V537" i="17" s="1"/>
  <c r="U538" i="17"/>
  <c r="V538" i="17" s="1"/>
  <c r="U541" i="17" l="1"/>
  <c r="V541" i="17" s="1"/>
  <c r="U543" i="17" l="1"/>
  <c r="V543" i="17" s="1"/>
</calcChain>
</file>

<file path=xl/sharedStrings.xml><?xml version="1.0" encoding="utf-8"?>
<sst xmlns="http://schemas.openxmlformats.org/spreadsheetml/2006/main" count="2719" uniqueCount="1245">
  <si>
    <t xml:space="preserve">PRELIMINARES </t>
  </si>
  <si>
    <t>1.1</t>
  </si>
  <si>
    <t xml:space="preserve">GENERALIDADES </t>
  </si>
  <si>
    <t>1.1.1</t>
  </si>
  <si>
    <t>PUERTA TABLA Y GUADUA</t>
  </si>
  <si>
    <t>UND</t>
  </si>
  <si>
    <t>1.1.2</t>
  </si>
  <si>
    <t>CERRAMIENTO TABLA RUSTICA</t>
  </si>
  <si>
    <t>M2</t>
  </si>
  <si>
    <t>1.1.3</t>
  </si>
  <si>
    <t>CERRAMIENTO TELA FIB.TEJIDA H=2.10M-BORD</t>
  </si>
  <si>
    <t>ML</t>
  </si>
  <si>
    <t>1.1.4</t>
  </si>
  <si>
    <t>LOCALIZACION-REPLANTEO OBRA ARQUITECTON.</t>
  </si>
  <si>
    <t>1.1.5</t>
  </si>
  <si>
    <t xml:space="preserve">1.2 </t>
  </si>
  <si>
    <t xml:space="preserve">DEMOLICIONES + DESMONTES </t>
  </si>
  <si>
    <t>PTO</t>
  </si>
  <si>
    <t>DEMOL.LOSA CONCRETO E&lt;=20CMS</t>
  </si>
  <si>
    <t>DEMOL.VIGA CONCRETO 36C-45CM</t>
  </si>
  <si>
    <t>DEMOL.COLUMNA CONCRETO</t>
  </si>
  <si>
    <t>M3</t>
  </si>
  <si>
    <t>DEMOL.VIGA AMARRE MURO</t>
  </si>
  <si>
    <t>DEMOL.MURO LAD. SOGA</t>
  </si>
  <si>
    <t>DEMOL.ANDEN/CONTRAPISO CONC.E 7.6 A 12CM</t>
  </si>
  <si>
    <t>DEMOL.CIMIENTO CONCRETO (SR)</t>
  </si>
  <si>
    <t>1.3</t>
  </si>
  <si>
    <t xml:space="preserve">EXCAVACIONES + RETIROS + LLENOS </t>
  </si>
  <si>
    <t>1.3.1</t>
  </si>
  <si>
    <t>1.3.3</t>
  </si>
  <si>
    <t>1.3.4</t>
  </si>
  <si>
    <t>1.3.5</t>
  </si>
  <si>
    <t>2.1</t>
  </si>
  <si>
    <t>2.1.1</t>
  </si>
  <si>
    <t>ACERO REFUERZO FLEJADO 60000 PSI 420Mpa</t>
  </si>
  <si>
    <t>KLS</t>
  </si>
  <si>
    <t>3.1</t>
  </si>
  <si>
    <t>3.1.1</t>
  </si>
  <si>
    <t>3.2</t>
  </si>
  <si>
    <t>3.2.1</t>
  </si>
  <si>
    <t>4.1</t>
  </si>
  <si>
    <t>ANCLAJE HIERRO ,5/8"-PERF. ,3/4" 10-15C</t>
  </si>
  <si>
    <t>MUROS Y REVESTIMIENTOS</t>
  </si>
  <si>
    <t>MAMPOSTERIA Y DRYWALL</t>
  </si>
  <si>
    <t>5.1.1</t>
  </si>
  <si>
    <t>ESTRUC.MURO BOARD [CANAL-PARAL] 89MM C20</t>
  </si>
  <si>
    <t>MURO 1-BOARD 10MM 1-BOARD 10MM</t>
  </si>
  <si>
    <t>5.2</t>
  </si>
  <si>
    <t>5.2.1</t>
  </si>
  <si>
    <t>5.2.2</t>
  </si>
  <si>
    <t>CONCRETO MURO-DOVELAS  3100PSI-420MPA</t>
  </si>
  <si>
    <t>5.2.3</t>
  </si>
  <si>
    <t>COLUMNA AMARRE MURO CULATA E=15CM-20CM</t>
  </si>
  <si>
    <t>VIGA CONCR.AMARRE MURO CULATA 10-12x20CM</t>
  </si>
  <si>
    <t>5.3</t>
  </si>
  <si>
    <t>REVESTIMIENTOS</t>
  </si>
  <si>
    <t>5.3.1</t>
  </si>
  <si>
    <t>REPELLO MURO 1:3</t>
  </si>
  <si>
    <t>REPELLO MURO CULATAS 1:3</t>
  </si>
  <si>
    <t>REPELLO CARTERA + FILOS 1:3</t>
  </si>
  <si>
    <t>DILATACIONES</t>
  </si>
  <si>
    <t>ESTRIA REPELLO</t>
  </si>
  <si>
    <t>6.1</t>
  </si>
  <si>
    <t>MALLA ELECTROSOLDADA</t>
  </si>
  <si>
    <t>ALISTADO PISO 5 CM</t>
  </si>
  <si>
    <t>BRILLADA-ENCERADA PISO</t>
  </si>
  <si>
    <t>CIELO FALSO</t>
  </si>
  <si>
    <t>7.1</t>
  </si>
  <si>
    <t>7.4</t>
  </si>
  <si>
    <t>7.5</t>
  </si>
  <si>
    <t>AISLAMIENTO TERMICO FRESCASA</t>
  </si>
  <si>
    <t>8.1</t>
  </si>
  <si>
    <t>8.2</t>
  </si>
  <si>
    <t>8.3</t>
  </si>
  <si>
    <t>VINILO MURO TIPO 1 [3M]</t>
  </si>
  <si>
    <t>CARPINTERIA DE MADERA</t>
  </si>
  <si>
    <t>9.1.1</t>
  </si>
  <si>
    <t>BISAGRA SCHLAGE VAIVEN PISO NIQUELADA</t>
  </si>
  <si>
    <t>CARPINTERIA ALUMINIO, VIDRIO, ACERO Y MARMOL</t>
  </si>
  <si>
    <t>MARCO ALUM. 0.81-1.00 M LISO C/LUCETA</t>
  </si>
  <si>
    <t>REDES HIDROSANITARIAS, APARATOS Y RED CONTRA INCENDIOS</t>
  </si>
  <si>
    <t>10.1</t>
  </si>
  <si>
    <t>OBRAS Y ACCESORIOS SANITARIOS</t>
  </si>
  <si>
    <t>10.1.1</t>
  </si>
  <si>
    <t>10.1.2</t>
  </si>
  <si>
    <t>10.1.3</t>
  </si>
  <si>
    <t>10.1.4</t>
  </si>
  <si>
    <t>10.1.5</t>
  </si>
  <si>
    <t>TAPA+MARCO CUARTO DE MÁQUINAS EN LÁMINA DE ALFAJOR</t>
  </si>
  <si>
    <t>KG</t>
  </si>
  <si>
    <t>OBRAS Y ACCESORIOS RED CONTRAINCENDIOS</t>
  </si>
  <si>
    <t xml:space="preserve">REDES ELECTRICAS Y APARATOS </t>
  </si>
  <si>
    <t>LIMPIEZA Y VARIOS</t>
  </si>
  <si>
    <t>LIMPIEZA PERMANENTE OBRA (CUADRILLA 2P)</t>
  </si>
  <si>
    <t>MES</t>
  </si>
  <si>
    <t>ADMINISTRACION</t>
  </si>
  <si>
    <t>ITEM</t>
  </si>
  <si>
    <t xml:space="preserve">SUBTOTAL PRELIMINARES </t>
  </si>
  <si>
    <t>SUBTOTAL MUROS Y REVESTIMIENTOS</t>
  </si>
  <si>
    <t>SUBTOTAL CONTRAPISOS Y ACABADOS DE PISO</t>
  </si>
  <si>
    <t>SUBTOTAL CIELO FALSO</t>
  </si>
  <si>
    <t xml:space="preserve">SUBTOTAL ACABADOS </t>
  </si>
  <si>
    <t>SUBTOTAL REDES HIDROSANITARIAS, APARATOS Y RED CONTRA INCENDIOS</t>
  </si>
  <si>
    <t>SUBTOTAL OBRAS EXTERIORES</t>
  </si>
  <si>
    <t>SUBTOTAL LIMPIEZA Y VARIOS</t>
  </si>
  <si>
    <t>VALOR TOTAL COSTOS DIRECTOS</t>
  </si>
  <si>
    <t>DESCRIPCIÓN</t>
  </si>
  <si>
    <t>CANTIDAD</t>
  </si>
  <si>
    <t>VALOR UNIT.</t>
  </si>
  <si>
    <t>9.1</t>
  </si>
  <si>
    <t>5.1</t>
  </si>
  <si>
    <t>MUEBLE MESON TUB.1,1/2X1,1/2 (ESQUELETO)</t>
  </si>
  <si>
    <t>BASE SOPORTE ESPEJO ALUM INCLINADA</t>
  </si>
  <si>
    <t>ESPEJO CLARO DE 4 MM</t>
  </si>
  <si>
    <t>ESCALERILLA HIERRO GRAFILADO 1/4"</t>
  </si>
  <si>
    <t>LOSA FONDO TANQUE ENTERRADO 4000PSI-28M</t>
  </si>
  <si>
    <t>MURO CONCRETO TANQUE SUBTERRANEO 4000PSI</t>
  </si>
  <si>
    <t>ANDEN CONCRETO 10CM 3000 PSI</t>
  </si>
  <si>
    <t>CONCRETO ESTAMPADO PISO PLAZOLETA Y ANDENES</t>
  </si>
  <si>
    <t>PUNTO DE ANCLAJE METEORA DE 10.000 LBS EN ACERO INOXIDABLE. INCLUYE INSTALACION Y CERTIFICACION CONFORME A REGULACIONES OSHA Y NORMAS ANSI, CSA. Y EN-795</t>
  </si>
  <si>
    <t>RELLENO LISTO EXTERIOR MURO</t>
  </si>
  <si>
    <t>CERAMICA 60-70 CM X60-70 CM TRAF 3-4</t>
  </si>
  <si>
    <t>SISTEMA DE APANTALLAMIENTO</t>
  </si>
  <si>
    <t>SUBTOTAL REDES ELECTRICAS</t>
  </si>
  <si>
    <t>OBRAS EXTERIORES Y FACHADA</t>
  </si>
  <si>
    <t>PRESUPUESTO DE OBRA</t>
  </si>
  <si>
    <t>REDES AA CONTROL Y REFRIGERANTE</t>
  </si>
  <si>
    <t>SUBTOTAL REDES AA CONTROL Y REFRIGERANTE</t>
  </si>
  <si>
    <t>UTILIDADES</t>
  </si>
  <si>
    <t>IMPREVISTOS</t>
  </si>
  <si>
    <t>VALOR TOTAL COSTOS INDIRECTOS</t>
  </si>
  <si>
    <t>ACABADOS ESTUCOS Y PINTURAS</t>
  </si>
  <si>
    <t>14.1</t>
  </si>
  <si>
    <t>CONTRAPISOS, PISOS Y ACABADOS DE PISO</t>
  </si>
  <si>
    <t>7.6</t>
  </si>
  <si>
    <t>BARRA SEGURIDAD AI-304 CAL 18-105-110CM</t>
  </si>
  <si>
    <t>FACHADA EXTERIOR / INTERIOR VIDRIO TEMPLADO DE SEGURIDAD 10MM. INCLUYE SISTEMA SOPORTES Y ANCLAJES EN ACERO</t>
  </si>
  <si>
    <t>MESON QUARTZTONE+FALDON+SALPIC 12MM</t>
  </si>
  <si>
    <t>QUARZTONE CARTERA FALDON=12-15CM</t>
  </si>
  <si>
    <t>PELICULA CONTROL SOLAR-POLARIZADO</t>
  </si>
  <si>
    <t>ESGRAFIADO</t>
  </si>
  <si>
    <t>VALOR TOTAL PRESUPUESTO DE OBRA</t>
  </si>
  <si>
    <t>OBRAS Y ACCESORIOS HIDRAULICOS</t>
  </si>
  <si>
    <t>080104</t>
  </si>
  <si>
    <t>010104</t>
  </si>
  <si>
    <t>PORCELANATO 50-60 X 50-60</t>
  </si>
  <si>
    <t xml:space="preserve">ACC. MEDIACAÑA PVC 1 1/2" </t>
  </si>
  <si>
    <t>VINILO CIELO TIPO 1 [3M]</t>
  </si>
  <si>
    <t>KORAZA DOB VIDA SUPERF.REPELLO [3M]</t>
  </si>
  <si>
    <t>MUEBLE BAJO MESON LAMINA RH</t>
  </si>
  <si>
    <t>080522</t>
  </si>
  <si>
    <t>EXCAVACIÓN EN CONGLOMERADO (MANUAL) - TANQUE</t>
  </si>
  <si>
    <t>080105</t>
  </si>
  <si>
    <t>BASE COMP. MAT. TRITURAD GRANUL NORTE</t>
  </si>
  <si>
    <t>CONTRAPISO REFORZADO E=10CM 3.000PSI</t>
  </si>
  <si>
    <t>12.1.1</t>
  </si>
  <si>
    <t>12.1.2</t>
  </si>
  <si>
    <t>12.1.3</t>
  </si>
  <si>
    <t>12.1.4</t>
  </si>
  <si>
    <t>12.1.5</t>
  </si>
  <si>
    <t>12.1.6</t>
  </si>
  <si>
    <t>080208</t>
  </si>
  <si>
    <t>CAMPAMENTO TABLA 18 M2</t>
  </si>
  <si>
    <t>DESCAPOTE MANUAL MAS RETIRO H= O.20 MTS</t>
  </si>
  <si>
    <t>PROTECCCION MALLA FIBRA TEJIDA</t>
  </si>
  <si>
    <t>CORTE ARBOL MAS RETIRO(INCL.RAICES)H&gt;3.0</t>
  </si>
  <si>
    <t>CORTE ARBOL MAS RETIRO(INCL.RAICES)H&lt;3.0</t>
  </si>
  <si>
    <t>1.1.6</t>
  </si>
  <si>
    <t>1.1.7</t>
  </si>
  <si>
    <t>1.1.8</t>
  </si>
  <si>
    <t>1.1.9</t>
  </si>
  <si>
    <t>ACERO DE REFUERZO DE CIMENTACION</t>
  </si>
  <si>
    <t>ACERO DE REFUERZO CABEZALES</t>
  </si>
  <si>
    <t>ACERO REFUERZO ZAPATAS</t>
  </si>
  <si>
    <t>ACERO REFUERZO VIGAS DE CIMENTACION</t>
  </si>
  <si>
    <t>ACERO DE REFUERZO VIGAS DE CIMENTACIÓN</t>
  </si>
  <si>
    <t>2.2.1</t>
  </si>
  <si>
    <t xml:space="preserve">SOLADO Y CONCRETO DE CIMENTACION </t>
  </si>
  <si>
    <t>SOLADO ESPESOR E=0.05M 3000 PSI 210 MPA CABEZALES</t>
  </si>
  <si>
    <t>SOLADO DE LIMPIEZA DE CABEZALES</t>
  </si>
  <si>
    <t>SOLADO DE LIMPIEZA VIGAS DE ENLACE</t>
  </si>
  <si>
    <t>SOLADO ESPESOR E=0.05M 3000 PSI 210 MPA VIGA DE CIMENTACION</t>
  </si>
  <si>
    <t>CONCRETO 3.500 PSI CABEZALES</t>
  </si>
  <si>
    <t>CABEZAL No. 2   -  CONCRETO 3500 PSI  x 3 pilotes ø 40cm (12 UND)</t>
  </si>
  <si>
    <t>CABEZAL No. 3   -  CONCRETO 3500 PSI  x 4 pilotes ø 40cm (6 UND)</t>
  </si>
  <si>
    <t>CABEZAL No. 4   -  CONCRETO 3500 PSI  x 1 pilotes ø 60cm (5 UND)</t>
  </si>
  <si>
    <t>CABEZAL No. 5   -  CONCRETO 3500 PSI  x 3 pilotes ø 60cm  (1UND)</t>
  </si>
  <si>
    <t>CABEZAL No. 6  -  CONCRETO 3500 PSI   x 2 pilotes ø 60cm  (1UND)</t>
  </si>
  <si>
    <t>CABEZAL No. 7   -  CONCRETO 3500 PSI  x 2 pilotes ø 40cm  (2UND)</t>
  </si>
  <si>
    <t>CABEZAL No. 8   -  CONCRETO 3500 PSI  x 4 pilotes ø 40cm (1 UND)</t>
  </si>
  <si>
    <t>CONSTRUCCION DE PILOTES</t>
  </si>
  <si>
    <t>SUBTOTAL REFUERZO DE CIMENTACION</t>
  </si>
  <si>
    <t>CONCRETO 3.500 PSI VIGAS DE CIMENTACION</t>
  </si>
  <si>
    <t xml:space="preserve"> M3</t>
  </si>
  <si>
    <t>3.3</t>
  </si>
  <si>
    <t>3.4</t>
  </si>
  <si>
    <t>3.5</t>
  </si>
  <si>
    <t>3.3.1</t>
  </si>
  <si>
    <t>3.3.2</t>
  </si>
  <si>
    <t>3.3.3</t>
  </si>
  <si>
    <t>3.3.4</t>
  </si>
  <si>
    <t>3.3.5</t>
  </si>
  <si>
    <t>3.3.6</t>
  </si>
  <si>
    <t>3.3.7</t>
  </si>
  <si>
    <t>3.3.8</t>
  </si>
  <si>
    <t>3.4.1</t>
  </si>
  <si>
    <t>3.4.2</t>
  </si>
  <si>
    <t>3.5.1</t>
  </si>
  <si>
    <t>SUBTOTAL SOLADO Y CONCRETO DE CIMENTACION</t>
  </si>
  <si>
    <t>CONCRETO LOSAS</t>
  </si>
  <si>
    <t>SUBTOTAL CONCRETO LOSAS</t>
  </si>
  <si>
    <t>CONCRETO PEDESTALES</t>
  </si>
  <si>
    <t>ACERO DE REFUERZO PEDESTALES</t>
  </si>
  <si>
    <t>ACERO REFUERZO PEDESTAL 60000 PSI (NO INCLUYE FIGURACION)</t>
  </si>
  <si>
    <t>GROUTING DE NIVELACIÓN E MAX 5 CMS</t>
  </si>
  <si>
    <t>UN</t>
  </si>
  <si>
    <t>SUBTOTAL CONCRETO PEDESTALES</t>
  </si>
  <si>
    <t>GROUTING DE NIVELACION</t>
  </si>
  <si>
    <t>ESTRUCTURA METALICA Y LAMINA COLABORANTE</t>
  </si>
  <si>
    <t>6.1.1</t>
  </si>
  <si>
    <t>6.1.2</t>
  </si>
  <si>
    <t>SUBTOTAL  ESTRUCTURA METALICA COLABORANTE</t>
  </si>
  <si>
    <t>LOSA CONCRETO STEEL DECK 2" E=10.0-11.0C</t>
  </si>
  <si>
    <t>LAMINA METALDECK 3" CAL.20 COLABORANTE"</t>
  </si>
  <si>
    <t>malla electrosoldada</t>
  </si>
  <si>
    <t>PISO 1</t>
  </si>
  <si>
    <t>MURO CULATA</t>
  </si>
  <si>
    <t>RESTA PUERTA BAÑO PORTERIA</t>
  </si>
  <si>
    <t>PISO 2</t>
  </si>
  <si>
    <t>MUROS BAÑOS</t>
  </si>
  <si>
    <t>ESCALERA FRONTAL</t>
  </si>
  <si>
    <t>MUROS ESCALERAS INTERNAS</t>
  </si>
  <si>
    <t>FOSO ESCALERA INTERNAS</t>
  </si>
  <si>
    <t>FOSO ASCENSOR</t>
  </si>
  <si>
    <t>MURO ESCALERA INTERNA</t>
  </si>
  <si>
    <t>CULATA POSTERIOR</t>
  </si>
  <si>
    <t>PISO 3</t>
  </si>
  <si>
    <t>MUROS CULATAS</t>
  </si>
  <si>
    <t>ANTEPECHO TERRAZA</t>
  </si>
  <si>
    <t>TERRAZA</t>
  </si>
  <si>
    <t>ANTECPECHO</t>
  </si>
  <si>
    <t>MUROS ESCALERA INTERNA</t>
  </si>
  <si>
    <t>MATERAS FACHADAS</t>
  </si>
  <si>
    <t>UNIDADES</t>
  </si>
  <si>
    <t>MUROS DIVISORIOS</t>
  </si>
  <si>
    <t>CRUJIA 1</t>
  </si>
  <si>
    <t>CRUJIA 2</t>
  </si>
  <si>
    <t>MUROS CENTRALES FONDO</t>
  </si>
  <si>
    <t>MURO PASILLO CRUJIA 2</t>
  </si>
  <si>
    <t>PASILLO CRUJIA 1</t>
  </si>
  <si>
    <t>PASILLO CRUJIA 2</t>
  </si>
  <si>
    <t>MUROS DIVISORIOS CRUJIA 1</t>
  </si>
  <si>
    <t>ESCALERILLA</t>
  </si>
  <si>
    <t>DOVELAS</t>
  </si>
  <si>
    <t>ANCLAJES</t>
  </si>
  <si>
    <t>GROUTING</t>
  </si>
  <si>
    <t>DOVELA ACEROS</t>
  </si>
  <si>
    <t>REFUERZO CUARTON MADERA</t>
  </si>
  <si>
    <t>MUROS DIVISORIOS CRUJIA 2</t>
  </si>
  <si>
    <t>CRUJIA 1 Y 2</t>
  </si>
  <si>
    <t>DOVELAS MUROS BLOQUE COLUMNETAS Y VIGUETAS MUROS LADRILLO</t>
  </si>
  <si>
    <t>COLIMNETAS PISO 1</t>
  </si>
  <si>
    <t>LINEAL</t>
  </si>
  <si>
    <t>ALTURA</t>
  </si>
  <si>
    <t>SEPARACION CADA 2 MTS</t>
  </si>
  <si>
    <t>TOTAL</t>
  </si>
  <si>
    <t>ESCALERAS INTERNAS TERRAZA</t>
  </si>
  <si>
    <t>SUBTOTAL</t>
  </si>
  <si>
    <t>VIGUETAS PISO 1</t>
  </si>
  <si>
    <t>VIGUETAS PISO 2</t>
  </si>
  <si>
    <t>VIGUETAS PISO 3</t>
  </si>
  <si>
    <t>COLUMNETAS PISO 2</t>
  </si>
  <si>
    <t>COLUMNETAS PISO 3</t>
  </si>
  <si>
    <t>VIGUETAS</t>
  </si>
  <si>
    <t>ACERO VIGUETAS</t>
  </si>
  <si>
    <t>VARILLA #3</t>
  </si>
  <si>
    <t>VARILLAS CORRIDAS</t>
  </si>
  <si>
    <t>FLEJES</t>
  </si>
  <si>
    <t>COLUMNETAS</t>
  </si>
  <si>
    <t>REPELLO CULATAS</t>
  </si>
  <si>
    <t>ANTEPECHO TERRAZA NIVEL 2</t>
  </si>
  <si>
    <t>TERRAZA MUROS ALTOS NIVEL 4</t>
  </si>
  <si>
    <t>TERRAZA MUROS BAJOS</t>
  </si>
  <si>
    <t>CARAS</t>
  </si>
  <si>
    <t>PISO CERAMICO</t>
  </si>
  <si>
    <t>TERRAZA PISO 4</t>
  </si>
  <si>
    <t>TERRAZA PISO 3</t>
  </si>
  <si>
    <t>PISO PARQUEADERO</t>
  </si>
  <si>
    <t>PORCELANATO</t>
  </si>
  <si>
    <t>BAÑOS</t>
  </si>
  <si>
    <t>ESCALERA FRONTAL PISO 1</t>
  </si>
  <si>
    <t>ESCALERA FRONTAL  PISO 2</t>
  </si>
  <si>
    <t xml:space="preserve">ESCALERA INTERNA PISO 1 </t>
  </si>
  <si>
    <t>ESCALERA INTERNA PISO 2</t>
  </si>
  <si>
    <t>ESCALERA INTERNA PISO 3</t>
  </si>
  <si>
    <t>SUBTOTAL PORCELANATO BAÑOS</t>
  </si>
  <si>
    <t>PUERTA BAÑO</t>
  </si>
  <si>
    <t xml:space="preserve">ALTO </t>
  </si>
  <si>
    <t>ANCHO</t>
  </si>
  <si>
    <t>DEPOSITO</t>
  </si>
  <si>
    <t>ASCENSOR</t>
  </si>
  <si>
    <t>UNIDAD</t>
  </si>
  <si>
    <t>FACHADA PPA</t>
  </si>
  <si>
    <t>MURO JARDIN</t>
  </si>
  <si>
    <t xml:space="preserve">HALL DE ACCESO </t>
  </si>
  <si>
    <t>PUNTO FIJO</t>
  </si>
  <si>
    <t>PUERTA ESTAR</t>
  </si>
  <si>
    <t>PUERTA ACCESO TERRAZA</t>
  </si>
  <si>
    <t>CONTRAHUELLAS</t>
  </si>
  <si>
    <t>PISOS</t>
  </si>
  <si>
    <t>ALTUTA HUELLA</t>
  </si>
  <si>
    <t>LARGO</t>
  </si>
  <si>
    <t>PUERTA</t>
  </si>
  <si>
    <t>ANTEPECHO ESCALERA VACIO</t>
  </si>
  <si>
    <t>ANTEPECHO PERIMETRAL TERRAZA</t>
  </si>
  <si>
    <t>DESCRIPCION</t>
  </si>
  <si>
    <t>COLUMNAS A MURO PISO 1 Y 2</t>
  </si>
  <si>
    <t>COLUMNAS A MURO PISO 3</t>
  </si>
  <si>
    <t>COLUMNAS A MURO ANTEPECHO PISO 3</t>
  </si>
  <si>
    <t>COLUMNAS A MURO ANTEPECHO PISO 4</t>
  </si>
  <si>
    <t>EN FACHADA</t>
  </si>
  <si>
    <t>COLUMNAS</t>
  </si>
  <si>
    <t>AREA PISO 1</t>
  </si>
  <si>
    <t xml:space="preserve">COLUMNAS </t>
  </si>
  <si>
    <t>RESTA COLUMNAS</t>
  </si>
  <si>
    <t>ALLANADO MECANICO ESMALTADO</t>
  </si>
  <si>
    <t>MALLA ELECTROSOLDADA 4MM 2,35X6</t>
  </si>
  <si>
    <t>AREA CONTRAPISO</t>
  </si>
  <si>
    <t>PESO x MALLA</t>
  </si>
  <si>
    <t># DE MALLAS A UTILIZAR</t>
  </si>
  <si>
    <t>TOTAL PESO</t>
  </si>
  <si>
    <t>M2 TOTAL DE MALLA</t>
  </si>
  <si>
    <t>PISO PORCELANATO</t>
  </si>
  <si>
    <t>GUARDAESCOBA PORCELANATO 7X30CM</t>
  </si>
  <si>
    <t>REPELLO PENDIENTADO LOSA-CANAL</t>
  </si>
  <si>
    <t>PEND.IMPERMEAB. 5 CM MORT 1:3</t>
  </si>
  <si>
    <t>ENCHAPE CERAMICO PORCELANATO</t>
  </si>
  <si>
    <t>ENCHAPE CERAMICA 30-40 CMX50-60 CM</t>
  </si>
  <si>
    <t xml:space="preserve">BAÑO </t>
  </si>
  <si>
    <t>BAÑO FACHADA</t>
  </si>
  <si>
    <t>BAÑO ENFERMERIA</t>
  </si>
  <si>
    <t>BAÑO PASILLO 1</t>
  </si>
  <si>
    <t>BAÑO PASILLO 2</t>
  </si>
  <si>
    <t>BAÑO MUJERES</t>
  </si>
  <si>
    <t>BAÑO HOMBRES</t>
  </si>
  <si>
    <t>BAÑO CJA DE CONTROL</t>
  </si>
  <si>
    <t>BAÑO VESTIER</t>
  </si>
  <si>
    <t>BAÑO BIOPSIAS</t>
  </si>
  <si>
    <t>BAÑO ECOGRAFIA</t>
  </si>
  <si>
    <t>BAÑO CONSULTORIO GENERAL 1</t>
  </si>
  <si>
    <t>BAÑO CONSULTORIO GENERAL 2</t>
  </si>
  <si>
    <t>UTA</t>
  </si>
  <si>
    <t>BAÑO OFICINA DE COORDINACION</t>
  </si>
  <si>
    <t>BAÑO DIGITALIZACION</t>
  </si>
  <si>
    <t>BAÑO PROMOTORA DE SALUD</t>
  </si>
  <si>
    <t>RESINA SINTETICO CUARZO</t>
  </si>
  <si>
    <t>MESON CONSULTORIO ECOGRAFIA</t>
  </si>
  <si>
    <t>MESON CAFETIN</t>
  </si>
  <si>
    <t>GUARDAESCOBAS</t>
  </si>
  <si>
    <t>ACCESORIOS-INSTALACIONES-VARIO</t>
  </si>
  <si>
    <t>REJILLA PISO ANGULO 1,1/2"-VARILLA 3/8"</t>
  </si>
  <si>
    <t>PSIO 1</t>
  </si>
  <si>
    <t>REJILLA ENTRADA PARQUEADERO</t>
  </si>
  <si>
    <t>BAÑO</t>
  </si>
  <si>
    <t>PASILLO</t>
  </si>
  <si>
    <t>CONSULTORIO GINECOLOGIA</t>
  </si>
  <si>
    <t>CONSULTORIO ENFERMERIA</t>
  </si>
  <si>
    <t xml:space="preserve">BAÑO PASILLO </t>
  </si>
  <si>
    <t>MAMOGRAFIA</t>
  </si>
  <si>
    <t>AGENDAMIENTO</t>
  </si>
  <si>
    <t>HALL BAÑO</t>
  </si>
  <si>
    <t>CAJA DE CONTROL</t>
  </si>
  <si>
    <t>SIAU</t>
  </si>
  <si>
    <t>DEPOSITO REACTIVOS</t>
  </si>
  <si>
    <t>AUXILIAR MAMOGRAFIA</t>
  </si>
  <si>
    <t>CONSULTORIO BIOPSIAS</t>
  </si>
  <si>
    <t>CONSULTORIO ECOGRAFIA</t>
  </si>
  <si>
    <t>CUARTO ELECTRICO</t>
  </si>
  <si>
    <t>SALA DE ESPERA</t>
  </si>
  <si>
    <t>CONSULTORIO PSICOLOGIA</t>
  </si>
  <si>
    <t>CONSULTORIO TRABAJADOR SOCIAL</t>
  </si>
  <si>
    <t>CONSULTORIO MEDICINA GENERAL</t>
  </si>
  <si>
    <t>CONSULTORIO TERAPIA FISICA</t>
  </si>
  <si>
    <t>HALL ACCESO</t>
  </si>
  <si>
    <t>ESTAR CAFETIN</t>
  </si>
  <si>
    <t>COORDINACION</t>
  </si>
  <si>
    <t>BAÑO COORDINACION</t>
  </si>
  <si>
    <t>REUNIONES JUNTAS</t>
  </si>
  <si>
    <t>RACK</t>
  </si>
  <si>
    <t xml:space="preserve">BAÑO  </t>
  </si>
  <si>
    <t>DIGITALIZACION Y LECTURA</t>
  </si>
  <si>
    <t>FUNDACION</t>
  </si>
  <si>
    <t>BAÑO FUNDACION</t>
  </si>
  <si>
    <t>PROMOTORA DE SALUD</t>
  </si>
  <si>
    <t>SALON MULTIPLE</t>
  </si>
  <si>
    <t>HALL DE ACCESO</t>
  </si>
  <si>
    <t>PERIMETRAL</t>
  </si>
  <si>
    <t>MUROS INTERNOS</t>
  </si>
  <si>
    <t>RESTA ENCHAPE</t>
  </si>
  <si>
    <t>SALIDA TERRAZA</t>
  </si>
  <si>
    <t>LADOS</t>
  </si>
  <si>
    <t>DONTELES Y ANTEPECHOS</t>
  </si>
  <si>
    <t>YEE 4X4"</t>
  </si>
  <si>
    <t>YEE 4X2"</t>
  </si>
  <si>
    <t>YEE 2X2"</t>
  </si>
  <si>
    <t>AGUAS LLUVIAS</t>
  </si>
  <si>
    <t>YEE 6X4"</t>
  </si>
  <si>
    <t>YEE 3X3"</t>
  </si>
  <si>
    <t>PUNTO HIDRAULICO 1 1/4"</t>
  </si>
  <si>
    <t xml:space="preserve">PRUEBA HIDARULICA RED </t>
  </si>
  <si>
    <t>TUBERIA ACERO AL CARBON D 4" - SCH 10.</t>
  </si>
  <si>
    <t>TUBERIA ACERO AL CARBON D 2 1/2" - SCH 10.</t>
  </si>
  <si>
    <t>TUBERIA ACERO AL CARBON D 1" - SCH 10.</t>
  </si>
  <si>
    <t>TUBERIA ACERO AL CARBON D 1/2" - SCH 10.</t>
  </si>
  <si>
    <t>CODO 90X4 AC</t>
  </si>
  <si>
    <t xml:space="preserve">TEE REDUCIDA 4X2 1/2" AC </t>
  </si>
  <si>
    <t>CODO 90X2 1/2" A C</t>
  </si>
  <si>
    <t>REDUCCIO DE COPA 4"X2 1/2"</t>
  </si>
  <si>
    <t>REDUCCIO DE COPA 2 /2"X1"</t>
  </si>
  <si>
    <t>STRAP 2 1/2"X1"</t>
  </si>
  <si>
    <t>TEE GALVANIZADA DE 1"</t>
  </si>
  <si>
    <t>CODO 90X1" GALVANIZADA</t>
  </si>
  <si>
    <t>REDUCCION DE COPA 1X1/2"</t>
  </si>
  <si>
    <t>SOPORTERIA  UL/FM 4"</t>
  </si>
  <si>
    <t>SOPORTERIA  UL/FM 2 1/2"</t>
  </si>
  <si>
    <t>SOPORTERIA  UL/FM 1"</t>
  </si>
  <si>
    <t>SOPORTE SISMORESISTENTE LATERAL 2 1/2"</t>
  </si>
  <si>
    <t>SOPORTE SISMORESISTENTE LONGITUDINAL  2 1/2"</t>
  </si>
  <si>
    <t>GABINETE CONTRA INCENDIO CLASE II</t>
  </si>
  <si>
    <t>VALVULA CON SWITCH SUPERVISADA UL/FM 2 1/2"</t>
  </si>
  <si>
    <t>VALVULA DE ALIVIO  1/2"</t>
  </si>
  <si>
    <t>SENSOR DE FLUJO TIPO PALETA  UL/FM 2 1/2"</t>
  </si>
  <si>
    <t>VALVULA DE CHEQUE RANURADA 2 1/2"</t>
  </si>
  <si>
    <t>VALVULA DE DRENAJE CON VISOR DE 1/2" I.T.C. 1 1/4"</t>
  </si>
  <si>
    <t>PUNTO GABINETE</t>
  </si>
  <si>
    <t>PUNTO ROCIADOR</t>
  </si>
  <si>
    <t>SIAMESA DE INYECCION DE COLUMNA D 4"</t>
  </si>
  <si>
    <t>SIAMESA INYECCION DE TANQUE D 4"</t>
  </si>
  <si>
    <t>CUARTO DE BOMBAS - RED CONTRA INCENDIO</t>
  </si>
  <si>
    <t>EQUIPOS DE BOMBEO</t>
  </si>
  <si>
    <t xml:space="preserve">SUMINISTRO DE EQUIPO DE BOMBEO CONTRAINCENDIO BOMBA CENTRIFUGA END SUCTION COMPUESTO POR BOMBA PRINCIPAL ELCTRICA DE 250 GPM @70  m.c.a  25 HP,TRIFASICA A 220 V,BOMBA JOCKEY 5 GPM 80 m.c.a 2.0 HP Y TABLEROS DE CONTROL </t>
  </si>
  <si>
    <t xml:space="preserve">SUMINISTRO DE EQUIPO DE BOMBAS EYECTORAS SUMERGIBLES  3 HP ,TRIFASICA A 220 V,COMPUESTO POR 2 BOMBAS TRABAJO ALTERNO SIMULTANEO 60 GPM , CONTROL DE NIVEL  TABLEROS DE CONTROL </t>
  </si>
  <si>
    <t>LOSA DE FONDO TANQUE ENTERRADO</t>
  </si>
  <si>
    <t>ALTO</t>
  </si>
  <si>
    <t>MURO 1</t>
  </si>
  <si>
    <t>MURO 2</t>
  </si>
  <si>
    <t>LOSA SUPERIOR</t>
  </si>
  <si>
    <t>TANQUE ENTERRADO AGUA POTABLE</t>
  </si>
  <si>
    <t>TANQUE AGUA POTABLE</t>
  </si>
  <si>
    <t>PASO MURO</t>
  </si>
  <si>
    <t>ENTRADA DE TUBERIA</t>
  </si>
  <si>
    <t>TAPA ALFAJOR</t>
  </si>
  <si>
    <t>EXCAVACION CONGLOMERADO</t>
  </si>
  <si>
    <t>BASE COMPACTADA</t>
  </si>
  <si>
    <t>ACERO</t>
  </si>
  <si>
    <t>cantidad</t>
  </si>
  <si>
    <t>lineal muros</t>
  </si>
  <si>
    <t>total peso</t>
  </si>
  <si>
    <t>largo varilla</t>
  </si>
  <si>
    <t>peso varilla</t>
  </si>
  <si>
    <t>grupos varillas</t>
  </si>
  <si>
    <t>CNTA PVC</t>
  </si>
  <si>
    <t>LOSA CONCRETO MACIZA E=20CM (TANQUE)</t>
  </si>
  <si>
    <t>TANQUE AGUA LLUVIAS</t>
  </si>
  <si>
    <t>TANQUE ENTERRADO AGUA LLUVIAS</t>
  </si>
  <si>
    <t># MUROS</t>
  </si>
  <si>
    <t>MURO LONGITUDINAL VARILLAS HORIZONTALES</t>
  </si>
  <si>
    <t>MURO LONGITUDINAL VARILLAS VERTICALES</t>
  </si>
  <si>
    <t>MURO TRASNVERSAL VARILLAS HORIZONTALES</t>
  </si>
  <si>
    <t>MURO TRANSVERSAL VARILLAS VERTICALES</t>
  </si>
  <si>
    <t>LOSA INFERIOR</t>
  </si>
  <si>
    <t>TANQUE ENTERRADO AGUA RCI</t>
  </si>
  <si>
    <t>TANQUE AGUA RCI</t>
  </si>
  <si>
    <t xml:space="preserve">  TABLEROS, CAJAS Y SUMINISTROS</t>
  </si>
  <si>
    <t>ALAMBRON DE ALUMINIO Ø8mm</t>
  </si>
  <si>
    <t>CABLE DESNUDO COBRE 2/0 THHN</t>
  </si>
  <si>
    <t>CAJAS DE 20X20 PARA TRANSICION  PLASTICAS</t>
  </si>
  <si>
    <t>Grapa Union Alambrón - Alambrón 8 - 10 mm Bimetálica</t>
  </si>
  <si>
    <t>FICHAS DISTANCIADORAS  MARCA HOLDER O DEHN</t>
  </si>
  <si>
    <t>GRAPA CRUCE CABLE -PUNTA CAPTORA</t>
  </si>
  <si>
    <t>GRAPA SOPORTE BAJANTE</t>
  </si>
  <si>
    <t xml:space="preserve">PUNTA CAPTORA ALAMBRON A LUMNIO </t>
  </si>
  <si>
    <t>SOLDADURA TERMOWELD X115 GR</t>
  </si>
  <si>
    <t>SOPORTE DE PUNTAS CAPTADORA A MURO</t>
  </si>
  <si>
    <t xml:space="preserve">TAPA METALICA DE REGISTRO 30X30 EN CONCRETO Y CON TAPA DE INSPECCION </t>
  </si>
  <si>
    <t>TUBOS DE 3/4" IMC</t>
  </si>
  <si>
    <t>VARILLA CU-CU 5/8X 2.40</t>
  </si>
  <si>
    <t xml:space="preserve">ACOMETIDAS </t>
  </si>
  <si>
    <t>SALIDAS ILUMINACION</t>
  </si>
  <si>
    <t>VOZ Y DATOS</t>
  </si>
  <si>
    <t>SISTEMA DE DETECCION DE INCENDIOS</t>
  </si>
  <si>
    <t>SSD HEAT SENSOR MARCA SIMPLES</t>
  </si>
  <si>
    <t>SSD HEAT SENSOR BASE MARCA SIMPLEX</t>
  </si>
  <si>
    <t>STATION - LED DA PUSH ADDR MARCA SIMPLES</t>
  </si>
  <si>
    <t>AV, WALL RED FIRE</t>
  </si>
  <si>
    <t>4077ES FACP INDAC, RED</t>
  </si>
  <si>
    <t>BATERIAS CARGA SECA 12V-7A</t>
  </si>
  <si>
    <t>SISTEMA CCTV</t>
  </si>
  <si>
    <t>CAMARA BALA 5 MP HDCV1 ER EN 1D/N REAL DAHUA</t>
  </si>
  <si>
    <t>NVR4432-4KS2/I. GRABADOR NVR 8MP IP,MAX 200MBPS,32CH,H.265+,4DD SATA 10TB INCLUYE LA PROGRAMACION DEL SISTEMA</t>
  </si>
  <si>
    <t>DISCO DURO 4TB SATA3 64MB INTELLIPOWER</t>
  </si>
  <si>
    <t>ASCENSORES</t>
  </si>
  <si>
    <t>DUPLICADORES</t>
  </si>
  <si>
    <t>PLANTA ELECTRICA CON MOTOR DIESEL MARCA GH POWER, REFERENCIA: GH100CSX- LS; ALTERNADOR MARCA LEROY SOMER - TAL-A44-C; MOTOR MARCA CUMMINS- 4BTA3.9-G11, 120 Hp, 1800 RPM, NATURAL Y REGULACION ELECTRONICA; TIPO DE INSONORIZACION CABINADA E INSONORIZADA PARA USO EN EXTERIORES; NIVEL DE RUIDO A 7 METROS DE 82 Db; TANQUE COMBUSTIBLE DE 40 GAL; PESO OPERACIONAL DE 1150 kg.; DIMENSIONES (L x An x Alt): 2.480 x 1.000 x 1.400; POTENCIA PRIME (CONTINUA): 90 KVA (72 KW); POTENCIA STAND BY (EMERGENCIA): 99 KVA (79 KW); VOLTAJE EN CORRIENTE ALTERNA DE 220 V; INTENSIDAD (AMP) @ 220V 259 AMP; TABLERO DE CONTROL DSE CON BREAKER TOTALIZADOR; APLICACIÓN RECOMENDADA: SUMINISTRO DE ENERGIA PRIMARIA Y/O EMERGENCIA</t>
  </si>
  <si>
    <t>UPS</t>
  </si>
  <si>
    <t xml:space="preserve">VALVULA DE EXPANSION ELECTRONICA 96.000BTU/hr  </t>
  </si>
  <si>
    <t>UNIDAD CONDENSADORA VRF 95.000 BTU/hr 220V/3Fases/60hz</t>
  </si>
  <si>
    <t xml:space="preserve">KIT DE COMUNICACION </t>
  </si>
  <si>
    <t xml:space="preserve">TERMOSTATO LCD TOUCH </t>
  </si>
  <si>
    <t>CONSOLA PARED 12000 BTU/HR VRF</t>
  </si>
  <si>
    <t>CONSOLA PARED 18000 BTU/HR  VRF</t>
  </si>
  <si>
    <t>CASSETTE 4 VIAS 36000BTU/HR  VRF</t>
  </si>
  <si>
    <t>UNIDAD CONDENSADORA VFR 150000BTU/HR</t>
  </si>
  <si>
    <t>BRANCH 3/8 X 7/8, 3/8 X ¾</t>
  </si>
  <si>
    <t>BRANCH 3/8 X 5/8, 1/4 X ½</t>
  </si>
  <si>
    <t>BRANCH 5/8 X 1 1/8</t>
  </si>
  <si>
    <t xml:space="preserve">CONTROL CENTRAL TOUCH 64 IDU 5 HORARIOS </t>
  </si>
  <si>
    <t xml:space="preserve">TRASLADO E IZAJE 50 TON </t>
  </si>
  <si>
    <t>EQUIPOS</t>
  </si>
  <si>
    <t xml:space="preserve">CONDUCTOS METALICOS CONSTRUIDOS EN LAMINA GALVANIZADA AISLADOS CON THERMOLON METALIZADO </t>
  </si>
  <si>
    <t>DIFUSORES, REJILLAS Y DAMPERS</t>
  </si>
  <si>
    <t>TUBERIAS DE COBRE</t>
  </si>
  <si>
    <t>HR</t>
  </si>
  <si>
    <t>CIELO FALSOS</t>
  </si>
  <si>
    <t>ESTUCOS Y PINTURAS</t>
  </si>
  <si>
    <t>FACHADAS</t>
  </si>
  <si>
    <t>PUERTA SENCILLA  P2 - RH MACIZA 36 MM COLOR CAFÉ EXPRESO CON FRANJA EN ACERO INOXIDABLE. 0,70X2,55 MTS</t>
  </si>
  <si>
    <t>PUERTA SENCILLA P1 - RH MACIZA 36 MM COLOR CAFÉ EXPRESO CON FRANJA EN ACERO INOXIDABLE. 0,90X2,55 MTS</t>
  </si>
  <si>
    <t>PUERTA DOBLE  P3 - RH MACIZA 36 MM COLOR CAFÉ EXPRESO CON FRANJA EN ACERO INOXIDABLE. 1,80X2,55 MTS</t>
  </si>
  <si>
    <t>PUERTA DOBLE P4 VIDRIO TEMPLADO 12 MM CON OPALIZADO TIPO VINILO SANBLASTING CON PIVOTE EN ACERO INOXIDABLE CON CONECTORES SENCILLOS A PIVOTE 1,40X2,55</t>
  </si>
  <si>
    <t>BISAGRAS VAIVEN</t>
  </si>
  <si>
    <t>AREA FACHADA</t>
  </si>
  <si>
    <t>LATERAL</t>
  </si>
  <si>
    <t>PELICULA CONTROL SOLAR</t>
  </si>
  <si>
    <t>MARCOS 70</t>
  </si>
  <si>
    <t>MARCOS 90</t>
  </si>
  <si>
    <t>MARCOS 1,80</t>
  </si>
  <si>
    <t>P1 / 90</t>
  </si>
  <si>
    <t>P2 / 70</t>
  </si>
  <si>
    <t>P3 / 1,80</t>
  </si>
  <si>
    <t>P4 / VIDRIO</t>
  </si>
  <si>
    <t>MARCO ALUM. 1.61-1.80 M PEST C/LUCETA</t>
  </si>
  <si>
    <t>NAVE ALUM.ENTAMBORADA-LLENA BAT.</t>
  </si>
  <si>
    <t>ALUMINIO ENTAMBORADA LLENA</t>
  </si>
  <si>
    <t>ACCESOR A TERRAZA PISO 2</t>
  </si>
  <si>
    <t>ACCESOR A TERRAZA PISO 3</t>
  </si>
  <si>
    <t>CARRADURAS OFICINAS</t>
  </si>
  <si>
    <t>CERRADURAS BAÑOS</t>
  </si>
  <si>
    <t>CERRADURA BANO YALE REF.5302</t>
  </si>
  <si>
    <t>CERRADURA 1/4 DE VUELTA</t>
  </si>
  <si>
    <t>FALLEVA METALICA 6"</t>
  </si>
  <si>
    <t>FALLEBAS</t>
  </si>
  <si>
    <t>ACERO INOXIDABLE</t>
  </si>
  <si>
    <t>PUERTA ,60</t>
  </si>
  <si>
    <t>PUERTA ,90</t>
  </si>
  <si>
    <t>PERFIL RECIBIDOR 30 CM</t>
  </si>
  <si>
    <t>PARALES BAÑOS 1,25</t>
  </si>
  <si>
    <t>PIRLANES - PIRAGUAS</t>
  </si>
  <si>
    <t>PIRAGUA ALUMINIO ANOLOK</t>
  </si>
  <si>
    <t>PIRLAN</t>
  </si>
  <si>
    <t>ACCESORIOS BARRAS SEGURIDAD</t>
  </si>
  <si>
    <t>BAÑO MUJERES Y HOMBRES</t>
  </si>
  <si>
    <t>APARATOS SANITARIOS</t>
  </si>
  <si>
    <t>LAVAMANOS COLGAR AQUAJET CF HG SOPORTE</t>
  </si>
  <si>
    <t>BAÑO CELADURIA</t>
  </si>
  <si>
    <t>BAÑO GINECOLOGIA</t>
  </si>
  <si>
    <t>AQUAJET</t>
  </si>
  <si>
    <t>LAVAMANOS</t>
  </si>
  <si>
    <t>LINEA MEDIA</t>
  </si>
  <si>
    <t>ENFERMERIA</t>
  </si>
  <si>
    <t>BAÑO HOMBRE</t>
  </si>
  <si>
    <t>BAÑO CONTROL</t>
  </si>
  <si>
    <t>CONSULTORIO BIOPSIA</t>
  </si>
  <si>
    <t>BAÑO ESTAR CAFETIN</t>
  </si>
  <si>
    <t xml:space="preserve">BAÑO COORDINACION </t>
  </si>
  <si>
    <t xml:space="preserve">BAÑO DIGITALIZACION </t>
  </si>
  <si>
    <t>TAZA ALONGADO INSTITUCIONAL DISCAP</t>
  </si>
  <si>
    <t>GRIFERIAS</t>
  </si>
  <si>
    <t>GRIFO LAVAMANOS PUSH MESON ANTIVALD</t>
  </si>
  <si>
    <t>GRIFO LAVAPLATOS 8 MEZCL</t>
  </si>
  <si>
    <t>GRIFO SANITARIO FLUXOMETRO</t>
  </si>
  <si>
    <t xml:space="preserve">UTA </t>
  </si>
  <si>
    <t>REJILLAS DESAGUES</t>
  </si>
  <si>
    <t>CANASTILLA - SIFON LAVAPLATOS</t>
  </si>
  <si>
    <t>250624</t>
  </si>
  <si>
    <t>250611</t>
  </si>
  <si>
    <t>REJILLA SOSCO 3"X2" ALUMINIO"</t>
  </si>
  <si>
    <t>TRAGANTE LOSA TCI 3 ATRAPA MANTO-ALUM</t>
  </si>
  <si>
    <t>PATIO POSTERIOR</t>
  </si>
  <si>
    <t>PISO 4</t>
  </si>
  <si>
    <t>MUEBLES - PREFABRICADOS</t>
  </si>
  <si>
    <t>LAVAPLATOS A.INOX. 50X 60CM PESTA.GRIFO</t>
  </si>
  <si>
    <t>250709</t>
  </si>
  <si>
    <t>ESPEJOS</t>
  </si>
  <si>
    <t>CAFETIN ESTAR</t>
  </si>
  <si>
    <t>BARANDA PASAM ACERO INOX TUB 1 1/2" OVAL 3 X 1" SEGÚN DISEÑO</t>
  </si>
  <si>
    <t xml:space="preserve">ESCALERA FACHADA </t>
  </si>
  <si>
    <t>ESCALERA INTERNA</t>
  </si>
  <si>
    <t>FACHADA</t>
  </si>
  <si>
    <t>VENTANAS INTERNAS</t>
  </si>
  <si>
    <t>MATERAS-ESTRUCTURAS Z.VERDES</t>
  </si>
  <si>
    <t>PANTALLA CONCRETO MATERA E=15 H=45-55CM</t>
  </si>
  <si>
    <t>MATERA DEBAJO ESCALERA</t>
  </si>
  <si>
    <t>MATERAS INTERNA ESCALERA</t>
  </si>
  <si>
    <t>MATERA FACHADA</t>
  </si>
  <si>
    <t>SUPERFICIE BANCA EN TABLILLA DE MADERA PLASTICA</t>
  </si>
  <si>
    <t>OBRAS EXTERIORES - CERRAMIENTOS</t>
  </si>
  <si>
    <t>SUBTOTAL OBRAS EXTERIORES - CERRAMIENTOS</t>
  </si>
  <si>
    <t>PLANTA ORNAMENTAL GRANDE H= 50- 80CMS</t>
  </si>
  <si>
    <t>SUMINISTRO E INSTALACION TIERRA AGRICOLA</t>
  </si>
  <si>
    <t>MATERA 1</t>
  </si>
  <si>
    <t>MATERA 2</t>
  </si>
  <si>
    <t>AREA M2</t>
  </si>
  <si>
    <t>ALTO MATERA</t>
  </si>
  <si>
    <t>SUBTOTAL M3</t>
  </si>
  <si>
    <t>2 PLANTAS X ML</t>
  </si>
  <si>
    <t>PROTECCIONES TERMICAS-HUMEDAD</t>
  </si>
  <si>
    <t>MEMBRANA PLASTIFICADA REVESTIMIENTO 12NT</t>
  </si>
  <si>
    <t>REPELLO MEDIA CANA</t>
  </si>
  <si>
    <t>ESTRUCT.ENTRAMADO MADERA-METAL</t>
  </si>
  <si>
    <t>ENTRAMADO METAL CF.PER.CHR 4X2-TUB.1.1/2</t>
  </si>
  <si>
    <t>LAMINA POLICARBONATO ALVEOLAR 10MM</t>
  </si>
  <si>
    <t>CONECTOR H LAMINA POLICARBONATO A=8-10MM</t>
  </si>
  <si>
    <t>CONECTOR TAPA LAMINA POLICARBONATO</t>
  </si>
  <si>
    <t>LOSA ESCALERA</t>
  </si>
  <si>
    <t xml:space="preserve">LOSA ESCALERA </t>
  </si>
  <si>
    <t xml:space="preserve">CUBIERTA TRAGA LUZ PUNTO FUJO </t>
  </si>
  <si>
    <t>POLICARBONATO</t>
  </si>
  <si>
    <t>CONECTOR LAMINA H</t>
  </si>
  <si>
    <t>CONECTROR TAPA</t>
  </si>
  <si>
    <t>MUEBLES RH BAJOS</t>
  </si>
  <si>
    <t>CONSULTA ECOGRAFIA</t>
  </si>
  <si>
    <t>MUEBLE ALTO RH</t>
  </si>
  <si>
    <t>MUEBLE ALTO</t>
  </si>
  <si>
    <t>MUEBLE BAJO COCINA</t>
  </si>
  <si>
    <t>EXCAVACION MAQUINA Y RELLENO</t>
  </si>
  <si>
    <t>DESCAPOTE Y SUBRASANTE</t>
  </si>
  <si>
    <t>RETIRO ESCOMBRO EXPANSION 30%</t>
  </si>
  <si>
    <t>ACC. MEDIACAÑA RINCONERA 1 1/2</t>
  </si>
  <si>
    <t>SUBTOTAL CUBIERTA</t>
  </si>
  <si>
    <t>7.1.1</t>
  </si>
  <si>
    <t>7.1.2</t>
  </si>
  <si>
    <t>7.1.3</t>
  </si>
  <si>
    <t>7.1.4</t>
  </si>
  <si>
    <t>7.1.5</t>
  </si>
  <si>
    <t>7.2</t>
  </si>
  <si>
    <t>7.2.1</t>
  </si>
  <si>
    <t>7.2.2</t>
  </si>
  <si>
    <t>7.2.3</t>
  </si>
  <si>
    <t>7.2.4</t>
  </si>
  <si>
    <t>7.2.5</t>
  </si>
  <si>
    <t>7.3</t>
  </si>
  <si>
    <t>7.3.1</t>
  </si>
  <si>
    <t>7.3.2</t>
  </si>
  <si>
    <t>7.3.3</t>
  </si>
  <si>
    <t>7.3.4</t>
  </si>
  <si>
    <t>7.3.5</t>
  </si>
  <si>
    <t>7.3.6</t>
  </si>
  <si>
    <t>7.4.1</t>
  </si>
  <si>
    <t>7.5.1</t>
  </si>
  <si>
    <t>7.6.1</t>
  </si>
  <si>
    <t>8.1.1</t>
  </si>
  <si>
    <t>8.1.2</t>
  </si>
  <si>
    <t>8.1.3</t>
  </si>
  <si>
    <t>8.1.4</t>
  </si>
  <si>
    <t>8.1.5</t>
  </si>
  <si>
    <t>8.1.6</t>
  </si>
  <si>
    <t>8.1.7</t>
  </si>
  <si>
    <t>8.2.1</t>
  </si>
  <si>
    <t>8.3.1</t>
  </si>
  <si>
    <t>11.1</t>
  </si>
  <si>
    <t>11.1.1</t>
  </si>
  <si>
    <t>11.1.2</t>
  </si>
  <si>
    <t>11.1.3</t>
  </si>
  <si>
    <t>11.1.4</t>
  </si>
  <si>
    <t>11.1.5</t>
  </si>
  <si>
    <t>11.1.6</t>
  </si>
  <si>
    <t>11.1.7</t>
  </si>
  <si>
    <t>12.1.7</t>
  </si>
  <si>
    <t>12.1.8</t>
  </si>
  <si>
    <t>12.1.9</t>
  </si>
  <si>
    <t>12.1.10</t>
  </si>
  <si>
    <t>13.1</t>
  </si>
  <si>
    <t>13.1.1</t>
  </si>
  <si>
    <t>13.1.2</t>
  </si>
  <si>
    <t>13.1.3</t>
  </si>
  <si>
    <t>13.1.4</t>
  </si>
  <si>
    <t>13.1.5</t>
  </si>
  <si>
    <t>13.1.6</t>
  </si>
  <si>
    <t>13.1.7</t>
  </si>
  <si>
    <t>13.1.8</t>
  </si>
  <si>
    <t>13.1.9</t>
  </si>
  <si>
    <t>13.1.10</t>
  </si>
  <si>
    <t>13.1.11</t>
  </si>
  <si>
    <t>13.1.12</t>
  </si>
  <si>
    <t>13.1.13</t>
  </si>
  <si>
    <t>13.1.14</t>
  </si>
  <si>
    <t>13.2</t>
  </si>
  <si>
    <t>13.2.1</t>
  </si>
  <si>
    <t>13.2.2</t>
  </si>
  <si>
    <t>13.2.3</t>
  </si>
  <si>
    <t>13.2.4</t>
  </si>
  <si>
    <t>13.3</t>
  </si>
  <si>
    <t>13.3.1</t>
  </si>
  <si>
    <t>13.3.2</t>
  </si>
  <si>
    <t>14.1.1</t>
  </si>
  <si>
    <t>14.1.2</t>
  </si>
  <si>
    <t>14.1.3</t>
  </si>
  <si>
    <t>14.1.4</t>
  </si>
  <si>
    <t>14.1.5</t>
  </si>
  <si>
    <t>14.1.6</t>
  </si>
  <si>
    <t>14.1.7</t>
  </si>
  <si>
    <t>14.1.8</t>
  </si>
  <si>
    <t>14.1.9</t>
  </si>
  <si>
    <t>14.1.10</t>
  </si>
  <si>
    <t>14.1.11</t>
  </si>
  <si>
    <t>14.2</t>
  </si>
  <si>
    <t>14.2.1</t>
  </si>
  <si>
    <t>14.2.2</t>
  </si>
  <si>
    <t>14.2.3</t>
  </si>
  <si>
    <t>14.2.4</t>
  </si>
  <si>
    <t>14.2.5</t>
  </si>
  <si>
    <t>14.2.6</t>
  </si>
  <si>
    <t>14.3</t>
  </si>
  <si>
    <t>14.3.1</t>
  </si>
  <si>
    <t>14.3.2</t>
  </si>
  <si>
    <t>14.3.3</t>
  </si>
  <si>
    <t>14.3.4</t>
  </si>
  <si>
    <t>14.3.5</t>
  </si>
  <si>
    <t>14.3.6</t>
  </si>
  <si>
    <t>14.3.7</t>
  </si>
  <si>
    <t>14.3.8</t>
  </si>
  <si>
    <t>14.3.9</t>
  </si>
  <si>
    <t>14.4</t>
  </si>
  <si>
    <t>14.4.1</t>
  </si>
  <si>
    <t>14.5</t>
  </si>
  <si>
    <t>14.5.1</t>
  </si>
  <si>
    <t>14.6</t>
  </si>
  <si>
    <t>14.6.1</t>
  </si>
  <si>
    <t>14.6.2</t>
  </si>
  <si>
    <t>14.6.3</t>
  </si>
  <si>
    <t>14.6.4</t>
  </si>
  <si>
    <t>14.6.5</t>
  </si>
  <si>
    <t>14.7</t>
  </si>
  <si>
    <t>14.7.1</t>
  </si>
  <si>
    <t>14.7.2</t>
  </si>
  <si>
    <t>14.7.3</t>
  </si>
  <si>
    <t>14.8</t>
  </si>
  <si>
    <t>14.8.1</t>
  </si>
  <si>
    <t>14.8.2</t>
  </si>
  <si>
    <t>14.8.3</t>
  </si>
  <si>
    <t>15.1</t>
  </si>
  <si>
    <t>15.1.1</t>
  </si>
  <si>
    <t>15.1.2</t>
  </si>
  <si>
    <t>15.1.3</t>
  </si>
  <si>
    <t>15.1.4</t>
  </si>
  <si>
    <t>15.1.5</t>
  </si>
  <si>
    <t>15.1.6</t>
  </si>
  <si>
    <t>15.1.7</t>
  </si>
  <si>
    <t>15.1.8</t>
  </si>
  <si>
    <t>15.1.9</t>
  </si>
  <si>
    <t>15.1.10</t>
  </si>
  <si>
    <t>15.1.11</t>
  </si>
  <si>
    <t>15.2</t>
  </si>
  <si>
    <t>15.2.1</t>
  </si>
  <si>
    <t>15.2.2</t>
  </si>
  <si>
    <t>15.2.3</t>
  </si>
  <si>
    <t>15.2.4</t>
  </si>
  <si>
    <t>15.3</t>
  </si>
  <si>
    <t>15.3.1</t>
  </si>
  <si>
    <t>15.3.2</t>
  </si>
  <si>
    <t>15.3.3</t>
  </si>
  <si>
    <t>15.3.4</t>
  </si>
  <si>
    <t>15.3.5</t>
  </si>
  <si>
    <t>15.3.6</t>
  </si>
  <si>
    <t>15.3.7</t>
  </si>
  <si>
    <t>15.3.8</t>
  </si>
  <si>
    <t>15.3.9</t>
  </si>
  <si>
    <t>15.4</t>
  </si>
  <si>
    <t>15.4.1</t>
  </si>
  <si>
    <t>15.4.2</t>
  </si>
  <si>
    <t>15.4.3</t>
  </si>
  <si>
    <t>15.4.4</t>
  </si>
  <si>
    <t>15.4.5</t>
  </si>
  <si>
    <t>15.4.6</t>
  </si>
  <si>
    <t>15.4.7</t>
  </si>
  <si>
    <t>15.4.8</t>
  </si>
  <si>
    <t>15.4.9</t>
  </si>
  <si>
    <t>16.1</t>
  </si>
  <si>
    <t>16.1.2</t>
  </si>
  <si>
    <t>16.1.4</t>
  </si>
  <si>
    <t>17.1</t>
  </si>
  <si>
    <t>17.1.1</t>
  </si>
  <si>
    <t>ADECUACION ZONA VERDE</t>
  </si>
  <si>
    <t>LIMPIEZA ASEO</t>
  </si>
  <si>
    <t>18.1</t>
  </si>
  <si>
    <t>18.1.1</t>
  </si>
  <si>
    <t>TERRAZA PISO 2</t>
  </si>
  <si>
    <t>PUERTA BATIENTE METALICA DOBLE ENTRADA VEHICULOS INCLUYE BRAZOS NEUMATICOS 3,70X5,00</t>
  </si>
  <si>
    <t>BRAZO NEUMATICO</t>
  </si>
  <si>
    <t>NAVE REJA TUBULAR 1,1/2x1,1/2 CAL.20</t>
  </si>
  <si>
    <t>ANDEN EXTERIOR</t>
  </si>
  <si>
    <t>CONCRETO ESTAMPADO</t>
  </si>
  <si>
    <t>AREA MALLA</t>
  </si>
  <si>
    <t xml:space="preserve">SARDINEL </t>
  </si>
  <si>
    <t>BOLARDOS METÁLICOS TIPO DISEÑO</t>
  </si>
  <si>
    <t>7.1.6</t>
  </si>
  <si>
    <t>ALFAGIA CONCRETO A=21-30CM</t>
  </si>
  <si>
    <t>PATIO PORTERIOR</t>
  </si>
  <si>
    <t>CAPITULOS DE SUMINISTRO</t>
  </si>
  <si>
    <t>VALORES</t>
  </si>
  <si>
    <t xml:space="preserve">PLANTA ELECTRICA  </t>
  </si>
  <si>
    <t>VALOR TOTAL PRESUPUESTO SUMINISTRO</t>
  </si>
  <si>
    <t>VALOR TOTAL PRESUPUESTO DE OBRA Y SUMINISTRO</t>
  </si>
  <si>
    <t>TOTAL IVA</t>
  </si>
  <si>
    <t>VALOR COSTOS INDIRECTOS SUMINISTROS</t>
  </si>
  <si>
    <t>17.1.2</t>
  </si>
  <si>
    <t>17.1.3</t>
  </si>
  <si>
    <t>CARPINTERIA METALICA</t>
  </si>
  <si>
    <t>DIVISION ACERO INOXIDABLE</t>
  </si>
  <si>
    <t>SUBTOTAL CARPINTERIAS MADERA</t>
  </si>
  <si>
    <t>EXCAVACION A MAQUINA (CAJEO) (SR)</t>
  </si>
  <si>
    <t>RELLENO ROCA MUERTA COMPACT-RANA</t>
  </si>
  <si>
    <t>CONFORM. COMPACT SUBRASANTE CBR=95</t>
  </si>
  <si>
    <t>RETIRO DE SALDOS EN SITIO</t>
  </si>
  <si>
    <t>CARGUE Y RETIRO DE SOBRANTES A MAQUINA &lt;=1 OKM.</t>
  </si>
  <si>
    <t>VIGA CIMIENTO ENLACE H=51-60CM 3100 PSI</t>
  </si>
  <si>
    <t>LOSA CONCRETO MACIZA E=12CM SOBRE METALDECK (INCLUYE MALLA ELECTROSOLDADA 6mm de 15x15cm - (NIVEL + 4.09m) - (NIVEL + 8.29m) - (NIVEL + 12.49m)</t>
  </si>
  <si>
    <t>PEDESTAL CONCRETO 3100 PSI - Seccion = 70x90cm  (14 UND)</t>
  </si>
  <si>
    <t>PEDESTAL CONCRETO 3100 PSI - Seccion = 70x70cm  (17 UND)</t>
  </si>
  <si>
    <t>PEDESTAL CONCRETO 3100 PSI - Seccion = 40x40cm    (6 UND)</t>
  </si>
  <si>
    <t>ACERO ESTRUCTURAL A.S.T.M.A-36</t>
  </si>
  <si>
    <t>CIELO FALSO PANEL BOARD 6.0MM S.JUNTA+VINILO</t>
  </si>
  <si>
    <t>TAPA REGISTRO 60X60CM METAL-PALANCA</t>
  </si>
  <si>
    <t>ESTUCO MURO PLASTICO MURO (PASTA)</t>
  </si>
  <si>
    <t>FILOS-DILATACIONES</t>
  </si>
  <si>
    <t>CERRADURA YALE OFICINA REF.5304 C</t>
  </si>
  <si>
    <t>VENTANA ALUMINIO FIJA P.7-44</t>
  </si>
  <si>
    <t>DIVISION BAÑO A.INOX NAVE 90 CM H=1.60M</t>
  </si>
  <si>
    <t>DIVISION BAÑO A.INOX NAVE 60 CM H=1.60M</t>
  </si>
  <si>
    <t>DIVISION BAÑO A.INOX PERFIL RECIBIDOR 30CM</t>
  </si>
  <si>
    <t>DIVISION BAÑO A.INOX TABIQUE 1.17-1.37-H=1.60</t>
  </si>
  <si>
    <t>TUBERIA PVC 6" SANITARIA</t>
  </si>
  <si>
    <t>TUBERIA PVC 4" SANITARIA</t>
  </si>
  <si>
    <t>TUBERIA PVC 2" SANITARIA</t>
  </si>
  <si>
    <t>CODO SANITARIO PVC 90 CC-4"</t>
  </si>
  <si>
    <t>CODO SANITARIO PVC 45 CC-4"</t>
  </si>
  <si>
    <t>CODO SANITARIO PVC 90 CC-2"</t>
  </si>
  <si>
    <t>CODO SANITARIO PVC 45 CC-2"</t>
  </si>
  <si>
    <t>YEE SANITARIA SENCILLA 4" PVC</t>
  </si>
  <si>
    <t>SIFON SANITARIO PVC 2"</t>
  </si>
  <si>
    <t>PUNTO SANITARIO PVC 2</t>
  </si>
  <si>
    <t>PUNTO SANITARIO PVC 4"</t>
  </si>
  <si>
    <t>CODO SANITARIO PVC 90 C-C-6"</t>
  </si>
  <si>
    <t>CODO SANITARIO PVC 45 C-C-6"</t>
  </si>
  <si>
    <t>CODO SANITARIO PVC 45 CC-3"</t>
  </si>
  <si>
    <t>SIFON SANITARIO PVC 3"</t>
  </si>
  <si>
    <t>REDUCCION SANITARIA 4X3"</t>
  </si>
  <si>
    <t>ADAPTADOR SANITARIO LIMPIEZA 4"</t>
  </si>
  <si>
    <t>TUBERIA PVC UM 2" RDE 21</t>
  </si>
  <si>
    <t>TUBERIA PVC UM 2 1/2" RDE 21</t>
  </si>
  <si>
    <t>VALVULA CIERRE METALICO 2 1/2"</t>
  </si>
  <si>
    <t>VALVULA CIERRE METALICO 1 1/2"</t>
  </si>
  <si>
    <t>VALVULA CIERRE METALICO 1/2"</t>
  </si>
  <si>
    <t xml:space="preserve">ADAPTADOR MACHO  D=2 1/2" </t>
  </si>
  <si>
    <t>ABRAZADERA GALVANIZADA D=3/4"</t>
  </si>
  <si>
    <t>ABRAZADERA GALVANIZADA D=1/2"</t>
  </si>
  <si>
    <t>ANCLAJE-SOPORTE TUBERIA ANG 1 1/2"X1/8</t>
  </si>
  <si>
    <t>CODO 90 PRESION PVC 2 1/2"</t>
  </si>
  <si>
    <t>CODO 90 PRESION PVC 2"</t>
  </si>
  <si>
    <t>CODO 90 PRESION PVC 1, 1/2"</t>
  </si>
  <si>
    <t>CODO 90 PRESION PVC 1, 1/4"</t>
  </si>
  <si>
    <t>CODO 90 PRESION PVC ,3/4"</t>
  </si>
  <si>
    <t>CODO 90 PRESION PVC , 1/2"</t>
  </si>
  <si>
    <t>TEE PRESION PVC 1, 1/2"</t>
  </si>
  <si>
    <t>TEE PRESION PVC ,3/4"</t>
  </si>
  <si>
    <t>TEE PRESION PVC , 1/2"</t>
  </si>
  <si>
    <t>PUNTO AGUA FRIA PVC 1/2"</t>
  </si>
  <si>
    <t>VALVULA CIERRE METALICO 2"</t>
  </si>
  <si>
    <t>VALVULA CIERRE METALICO 1 1/4"</t>
  </si>
  <si>
    <t>LAVAMANOS SOBREPONER MEZ.LINEA MEDIA</t>
  </si>
  <si>
    <t>TAZA SANITARIA+ VALV.FLUXOMETRO</t>
  </si>
  <si>
    <t>COMBO SANITARIO ECONOMICO [S+L+G+I]</t>
  </si>
  <si>
    <t>250451</t>
  </si>
  <si>
    <t>JUEGO</t>
  </si>
  <si>
    <t>CINTA PVC JUNTA DILATACION</t>
  </si>
  <si>
    <t>TUBERÍA ACERO AL CARBÓN - CON COSTURA 4" - SCH 40.</t>
  </si>
  <si>
    <t>CODO HIERRO DÚCTIL RANURADO 4" * 90°</t>
  </si>
  <si>
    <t>COUPLING RÍGIDO HIERRO DÚCTIL 4"</t>
  </si>
  <si>
    <t>TEE HIERRO DÚCTIL RANURADA 4"</t>
  </si>
  <si>
    <t>COPA EXCENTRICA</t>
  </si>
  <si>
    <t>COPA CONCENTRICA</t>
  </si>
  <si>
    <t>TUBERÍA ACERO INOXIDABLE 1/2" - SCH 40.</t>
  </si>
  <si>
    <t>CODO ROSCADO ACERO INOXIDABLE 1/2" * 90°</t>
  </si>
  <si>
    <t>TEE ROSCADO ACERO INOXIDABLE 1/2"</t>
  </si>
  <si>
    <t>PLACA ANTIVORTICE</t>
  </si>
  <si>
    <t>NIPLE ACEROINOXIDABLE 4" * 0.60 BRIDADO</t>
  </si>
  <si>
    <t xml:space="preserve">VÁLVULA DE CORTINA OS&amp;Y BRIDADA 4" </t>
  </si>
  <si>
    <t xml:space="preserve">VÁLVULA CHEQUE RANURADO 4" OS&amp;Y </t>
  </si>
  <si>
    <t xml:space="preserve">VÁLVULA INDICADORA CON SWITCH DE SUPERVISIÓN UL/FM. - RANURADA 4" </t>
  </si>
  <si>
    <t>VÁLVULA PASO DIRECTO RED WHITE TIPO PESADO 2.1/2"</t>
  </si>
  <si>
    <t>VÁLVULA CHEQUE RESORTE 2.1/2"</t>
  </si>
  <si>
    <t xml:space="preserve">VÁLVULA DE BOLA CIERRE RÁPIDO - ACERO INOXIDABLE 1/2" </t>
  </si>
  <si>
    <t>ROCIADOR UPRIGHT 1/2" K= 5.6 T=68° SC QR</t>
  </si>
  <si>
    <t xml:space="preserve">SUMINISTRO E INSTALACION  DE CABLE UTP CATEGORIA 6 SISTEMAS CCTV </t>
  </si>
  <si>
    <t xml:space="preserve">CALIBRE 26 CHAQUETA PARA CONDUCTOS EN TERRAZA </t>
  </si>
  <si>
    <t xml:space="preserve">CALIBRE 24 </t>
  </si>
  <si>
    <t xml:space="preserve">CALIBRE 20 </t>
  </si>
  <si>
    <t xml:space="preserve">AISLAMIENTO TERMICO </t>
  </si>
  <si>
    <t xml:space="preserve">DIFUSOR DE SUMINISTRO 4 VIAS CON DAMPER 18 X 18 COLOR BLANCO, MARCO DESCOLGADO ELEMENTO CENTRAL REMOVIBLE </t>
  </si>
  <si>
    <t xml:space="preserve">DIFUSOR DE SUMINISTRO 4 VIAS CON DAMPER 15 X 15 COLOR BLANCO, MARCO DESCOLGADO ELEMENTO CENTRAL REMOVIBLE </t>
  </si>
  <si>
    <t xml:space="preserve">DIFUSOR DE SUMINISTRO 4 VIAS CON DAMPER 9 X 9 COLOR BLANCO, MARCO DESCOLGADO ELEMENTO CENTRAL REMOVIBLE </t>
  </si>
  <si>
    <t xml:space="preserve">REJILLA DE RETORNO ALETA FIJA CON DAMPER 18 X 18 COLOR BLANCO, MARCO DESCOLGADO ELEMENTO CENTRAL REMOVIBLE </t>
  </si>
  <si>
    <t xml:space="preserve">REJILLA DE RETORNO ALETA FIJA CON DAMPER 14 X 14 COLOR BLANCO, MARCO DESCOLGADO ELEMENTO CENTRAL REMOVIBLE </t>
  </si>
  <si>
    <t xml:space="preserve">REJILLA DE RETORNO ALETA FIJA CON DAMPER 12 X 12 COLOR BLANCO, MARCO DESCOLGADO ELEMENTO CENTRAL REMOVIBLE </t>
  </si>
  <si>
    <t xml:space="preserve">REJILLA DE RETORNO ALETA FIJA CON DAMPER 10 X 10 COLOR BLANCO, MARCO DESCOLGADO ELEMENTO CENTRAL REMOVIBLE </t>
  </si>
  <si>
    <t xml:space="preserve">REJILLA DE RETORNO TIPO CUBO CON DAMPER 26 X 8 COLOR BLANCO, MARCO DESCOLGADO ELEMENTO CENTRAL REMOVIBLE </t>
  </si>
  <si>
    <t xml:space="preserve">DAMPER 22 X 10 SUMINISTRO ALETA MULTIPLE </t>
  </si>
  <si>
    <t xml:space="preserve">DAMPER 22 X 10 RETORNO ALETA MULTIPLE </t>
  </si>
  <si>
    <t xml:space="preserve">DAMPER 12 X 4 </t>
  </si>
  <si>
    <t xml:space="preserve">TUBERIA 5/8  </t>
  </si>
  <si>
    <t xml:space="preserve">TUBERIA 7/8 </t>
  </si>
  <si>
    <t xml:space="preserve">TUBERIA 1 1/8 </t>
  </si>
  <si>
    <t xml:space="preserve">AISLAMIENTO TERMICO PARA TUBERIAS EN TERRAZA CONSTRUIDO CON CHAQUETA DE ACERO INOXIDABLE 430 INYECTADO CON POLIURETANO DIAMETRO 1 ¾ ESPESOR 1 ½ PULG </t>
  </si>
  <si>
    <t xml:space="preserve">AISLAMIENTO TERMICO PARA ACCESORIOS TUBERIAS EN TERRAZA CONSTRUIDO CON CHAQUETA DE ACERO INOXIDABLE 430 INYECTADO CON POLIURETANO DIAMETRO 1 ¾ ESPESOR 1 ½ PULG </t>
  </si>
  <si>
    <t>ACOMETIDA DESDE SUBESTACION EN POSTE 150 KVA HASTA  HASTA EL TABLERO TB01 GENERAL (TRANSFERENCIA AUTOMATICA)  UBICADO EN CUARTO TECNICO PISO TRES  EN 2(3 FASES 350+1NEUTRO350 )+ TIERRA 2/0; CON SUS RESPECTIVOS ACCESORIOS EN TUBERIA 4"EMT.</t>
  </si>
  <si>
    <t>ACOMETIDA DESDE BANCO DE CONDESADORES HASTA TABLERO TRANSFERENCIA TB01 GENERAL (TRANSFERENCIA AUTOMATICA)  UBICADO EN CUARTO TECNICO PISO TRES  EN (3 FASES 1/0+1NEUTRO1/0 ); CON SUS RESPECTIVOS ACCESORIOS EN TUBERIA 4"EMT.</t>
  </si>
  <si>
    <t>ACOMETIDA DESDE SUBESTACION EN POSTE 150 KVA HASTA  HASTA EL TABLERO T.B.INC GENERAL (TRANSFERENCIA AUTOMATICA SISTEMA DE INCENDIOS)  UBICADO EN CUARTODE BOMBAS PRIMER PISO  EN (3 FASES 1/0+1 TIERRA 1/0 ) CON SUS RESPECTIVOS ACCESORIOS EN TUBERIA 4"EMT.</t>
  </si>
  <si>
    <t>ACOMETIDA DESDE LA PLANTA ELECTRICA AGUS ARRIBA DEL TOTALIZADOR HASTA  HASTA EL TABLERO T.B.INC GENERAL (TRANSFERENCIA AUTOMATICA SISTEMA DE INCENDIOS)  UBICADO EN CUARTODE BOMBAS PRIMER PISO  EN (3 FASES 1/0+1 TIERRA 1/0 ) CON SUS RESPECTIVOS ACCESORIOS EN TUBERIA 4"EMT.</t>
  </si>
  <si>
    <t>MALLA A TIERRA EN CABLE DESNUDO 2/0, VARILLAS COBRE COBRE 2,40 MTS-ML, TAPA DE REGISTRO, QUEMAS DE 115 GRS;  ESCABACION DEL TERRENO; INCLUYE LA COLA HASTA EL TABLERO TB01 GENERAL</t>
  </si>
  <si>
    <t>ACOMETIDAS DE DOS UPS 15KVA A TABLERO TB P1 UBICADO EN CUARTO ELECTRICO PISO UNO EN CABLE CENTENFLEX LIBRE DE ALÓGENOS 3FASES#4 +1N#4+1TIERRA#4. POR DUCTO 10X10 CON TAPA 1”, CORAZA AMERICANA1 ¼”; ACCESORIOS</t>
  </si>
  <si>
    <t>ACOMETIDA EN PUNTO CERO DE FANCOILS  3X12 LIBRE DE ALOGENOS; TUBERIA 3/4" EMT Y SUS RESPESTIVOS ACCESORIOS</t>
  </si>
  <si>
    <t>ACOMETIDA EN PUNTO CERO DE FANCOILS  CABLE DE CONTROL 2X18 APANTALLADO EN BUCLE; TUBERIA 3/4" EMT Y SUS RESPESTIVOS ACCESORIOS</t>
  </si>
  <si>
    <t>ACOMETIDA TABLE TB01 HASTA EL TABLERO TB05 AIRE ACONDICINADOS EN CABLE 3 FASES3/0+ 1 TIERRA 1/0. EN TUBERIA 3" EMT CON SUS  RESPECTIVOS ACCESORIOS</t>
  </si>
  <si>
    <t>ACOMETIDA TABLE TB05 AIRE ACONDICINADOS UNIDAD CONDESADORA 1 EN CABLE 3 FASES #6 + 1 TIERRA #6 EN TUBERIA EMT 1" CONS SUS RESPECTIVOS ACCESORIOS.</t>
  </si>
  <si>
    <t>ACOMETIDA TABLE TB05 AIRE ACONDICINADOS UNIDAD CONDESADORA 2 EN CABLE 3 FASES #6 + 1 TIERRA #6 EN TUBERIA EMT 1" CONS SUS RESPECTIVOS ACCESORIOS.</t>
  </si>
  <si>
    <t>ACOMETIDA TABLE TB05 AIRE ACONDICINADOS UNIDAD CONDESADORA 3 EN CABLE 3 FASES #8 + 1 TIERRA #8 EN TUBERIA EMT 1" CONS SUS RESPECTIVOS ACCESORIOS.</t>
  </si>
  <si>
    <t>ACOMETIDA TABLE TB05 AIRE ACONDICINADOS UMA 01 EN CABLE 3 FASES # 10+ 1 TIERRA #10 EN TUBERIA EMT 1" CONS SUS RESPECTIVOS ACCESORIOS.</t>
  </si>
  <si>
    <t>ACOMETIDA TABLE TB05 AIRE ACONDICINADOS UE-01 EN CABLE 3 FASES # 10+ 1 TIERRA #10 EN TUBERIA EMT 1" CONS SUS RESPECTIVOS ACCESORIOS.</t>
  </si>
  <si>
    <t>ACOMETIDA TABLE TB01 GENERAL HASTA TB04  (MOTORES DUPLICADORES) EN CABLE 3 FASES # 8+ 1 TIERRA #8  EN TUBERIA EMT 1" CONS SUS RESPECTIVOS ACCESORIOS.</t>
  </si>
  <si>
    <t>ACOMETIDA TABLE TB01 GENERAL  TB.ASC EN CABLE 3 FASES # 6+1 NEUTRO #6+ 1 TIERRA #6  EN TUBERIA EMT 1" CONS SUS RESPECTIVOS ACCESORIOS.</t>
  </si>
  <si>
    <t>ACOMETIDA TABLE TB01 A TB.MAMOGRAFO 1 EN CABLE 3 FASES # 6+ 1 TIERRA # 6  EN TUBERIA EMT 1" CONS SUS RESPECTIVOS ACCESORIOS.</t>
  </si>
  <si>
    <t>ACOMETIDA TABLE TB01 A TB.MAMOGRAFO 2 EN CABLE 3 FASES # 6+ 1 TIERRA # 6  EN TUBERIA EMT 1" CONS SUS RESPECTIVOS ACCESORIOS.</t>
  </si>
  <si>
    <t>PATCH PANEL DE 24 PUERTOS CATEGORÍA 7A, DATOS Y VOZ</t>
  </si>
  <si>
    <t>PATCH CORD DE 2 MTS CATEGORÍA 7A COLOR AZUL 4 TERAS, PUNTOS IMPRESORAS</t>
  </si>
  <si>
    <t>PATCH CORD DE 1 MTS CATEGORÍA 7A 2 TERAS COLOR AZUL, ROJO PAR PC Y TELEFONO IP</t>
  </si>
  <si>
    <t>PATCH CORD DE 1 MTS CATEGORÍA 7A 4 TERAS COLOR AZUL IMPRESORAS</t>
  </si>
  <si>
    <t xml:space="preserve">RACK ABIERTO DE 19" DE ANCHO X 2.10 MTS 45 UND RACK DE ALTURA TIPO PESADO, INCLUYE  2 PDU. CON 6 SALIDAS </t>
  </si>
  <si>
    <t>SWITCH CISCO CATALYST 9200L 48G 4SFP C9200L-48T-4G-E: RESISTENCIA CON UNIDADES REEMPLAZABLES EN CAMPO (FRU) Y FUENTE DE ALIMENTACIÓN REDUNDANTE, VENTILADORES Y ENLACES ASCENDENTES MODULARES PARA C9200. OPCIONES FLEXIBLES DE ENLACE DESCENDENTE CON DATOS, POE+ O MGIG EFICIENCIA OPERATIVA CON APILAMIENTO DE BACKPLANE OPCIONAL, QUE ADMITE UN ANCHO DE BANDA DE APILAMIENTO DE HASTA 80 GBPS. UADP 2.0 MINI CON CPU INTEGRADA OFRECE A LOS CLIENTES UNA ESCALA OPTIMIZADA CON UNA MEJOR ESTRUCTURA DE COSTOS. SEGURIDAD MEJORADA CON CIFRADO AES-128 MACSEC EN C9200, SEGMENTACIÓN BASADA EN POLÍTICAS Y SOLUCIONES CONFIABLES PARA TODA LA FAMILIA C9200. CAPACIDADES DE CAPA 3, INCLUIDOS OSPF, EIGRP, ISIS, RIP Y ACCESO ENRUTADO. MONITOREO DE RED AVANZADO CON FULL FLEXIBLE NETFLOW</t>
  </si>
  <si>
    <t>CABLE UTP 7A MARCA SIEMON</t>
  </si>
  <si>
    <r>
      <t xml:space="preserve">CABEZAL No. 1   -  CONCRETO 3500 PSI  x 4 pilotes </t>
    </r>
    <r>
      <rPr>
        <sz val="10"/>
        <rFont val="Calibri"/>
        <family val="2"/>
        <scheme val="minor"/>
      </rPr>
      <t xml:space="preserve">ø 60cm  (3 UND) </t>
    </r>
  </si>
  <si>
    <r>
      <t xml:space="preserve">PILOTES DE </t>
    </r>
    <r>
      <rPr>
        <sz val="10"/>
        <rFont val="Calibri"/>
        <family val="2"/>
        <scheme val="minor"/>
      </rPr>
      <t>ø 40cm x 7m</t>
    </r>
  </si>
  <si>
    <r>
      <t xml:space="preserve">PILOTES DE </t>
    </r>
    <r>
      <rPr>
        <sz val="10"/>
        <rFont val="Calibri"/>
        <family val="2"/>
        <scheme val="minor"/>
      </rPr>
      <t>ø 60cm x 7m</t>
    </r>
  </si>
  <si>
    <t>TEMPERATURA DE COLOR FRIA, FLUJO LUMINOSO N/D ÁNGULO DE APERTURA N/A FIJACIÓN INCRUSTAR FORMA REDONDO, TIPO DE ATENUACIÓN ON/OFF. MATERIAL POLICARBONATO COLOR DEL CHASIS BLANCO, INDICE DE PROTECCIÓN IP20, VOLTAJE DE OPERACIÓN 100 V – 240 V, HORAS DE VIDA ÚTIL N/D IRC N/A, REFERENCIA FABRICANTE 037LUK010</t>
  </si>
  <si>
    <t>ASCENSOR TIPO PASAJERO GEN2 MRL SIN CUARTO DE MAQUINAS EQUIPO PARA INSTALACIÓN EN ÁREA CERRADA SIN EXPOSICIÓN DIRECTA AL MEDIO AMBIENTE. 3 PISOS, 3 APARADAS 1 ENTRADA A CABINA CON CAPACIDAD DE 630 KG, 8 PASAJEROS CON MAQUINARIA TIPO GEARLESS (SIN RECUTOR) DE MAGNETO PERMANENTE.</t>
  </si>
  <si>
    <t>TRANSFERENCIA AUTOMÁTICA CON CONTACTORES MARCA LS DE 275AC1/225AC3 PARA 100KVA/80KW/107HP A 220VAC 3 FASES 5 HILOS EN COFRE DE 90X70X30CM EN ACERO COLD ROLLED. INCLUYE CONTROL DE TRANSFERENCIA VELASQUEZ, MULETILLAS DE OPERACIÓN AUTOMÁTICOMANUAL. TODO DEBIDAMENTE MARCADO Y PROBADO.</t>
  </si>
  <si>
    <t>UPS IMPORTADA, FABRICACIÓN USA, MARCA APC MODELO: EASY 3S DE 20KVA / 20KW - 208V - 120V 3:3 UPS, PF= 1, CERTIFICACIÓN UL 1778, SOPORTA 7 MINUTOS DE RESPALDO AL 100 % DE CARGA CON BATERÍAS MODULARES Y ABATIBLES.</t>
  </si>
  <si>
    <t>SMART-UPS SRT 10KVA WITH TWO 208/240V TO 120V 5KVA STEP-DOWN TRANSFORMERS</t>
  </si>
  <si>
    <t>EQUIPO DE PRESION AGUA POTABLE CAUDAL  COMPUESTO POR  2 MOTOBOMBAS CON CAUDAL 60 GPM HTD 22 PSI.  C/U. ALTERNADAS, 220V TRIFASICA 3 HP CADA UNA,TABLERO DE CONTROL,FLOTADORES , CON VARIADOR DE VELOCIDAD</t>
  </si>
  <si>
    <t>DUPLICADORES DE PARQUEO 2700KGS MARCA SOLID PARKING CON COLUMNA COMPARTIDA. PROCEDENCIA CHINA , CUMPLE NORMAS CE VIENE PARA TRABAJAR A LA INTEMPERIE. TOTALMENTE ZINCADOS , LOS MOTORES SON SELLADOS Y LA CAJA DE CONTROL ELÉCTRICA SELLADA. PINTURA ELECTROSTATICA ENRIQUECIDA EN ZING</t>
  </si>
  <si>
    <t>PLANTA ORNAMENTAL PEQUENA H= 20- 40CM</t>
  </si>
  <si>
    <t>LAMINA METALDECK 2" CAL.18 COLABORANTE"</t>
  </si>
  <si>
    <t>MURO BLOQUE ESTRUCT.CERAMICO 12X20X30</t>
  </si>
  <si>
    <t xml:space="preserve">CAMARA INSPECCION TIPO I H=O -1.50 M. </t>
  </si>
  <si>
    <t>TUBERIA PVC ,3/4"</t>
  </si>
  <si>
    <t>TUBERIA PVC 1/2"</t>
  </si>
  <si>
    <t>TUBERIA PVC 1-1/4"</t>
  </si>
  <si>
    <t>TUBERIA PVC 1-1/2"</t>
  </si>
  <si>
    <t>TABLERO GENERAL TOMAS NORMALES Y REGULADOS. FABRICADO EN LÁMINA COLD ROLLED, CALIBRE 16, TRATADA QUÍMICAMENTE PARA LA DESOXIDACIÓN, DESENGRASE Y FOSFATADO CON ACABADO FINAL EN PINTURA EN POLVO DEPOSITADA ELECTROSTÁTICAMENTE. COLOR GRIS RAL 7035. TIPO INTERIOR. GRADO DE PROTECCIÓN IP44.</t>
  </si>
  <si>
    <t xml:space="preserve">DUCTO CERRADO CON TAPA Y PELDAÑOS COLD ROLLED DE 400X800 MM SISTEMA REGULADO. INCLUYE ACCESORIOS DE FIJACIÓN EMPALME, CAMBIO DE DIRECCIÓN, INSTALACIÓN CABLE A TIERRA # 8 COBRE COBRE DESNUDO ACOPLADO A LA BANDEJA CON SUS RESPECTIVOS CONECTORES EN COBRE. </t>
  </si>
  <si>
    <t xml:space="preserve">DUCTO CERRADO CON TAPA Y PELDAÑOS COLD ROLLED DE 400X800 MM SISTEMA NORMAL  COLOR GRIS . INCLUYE ACCESORIOS DE FIJACIÓN EMPALME, CAMBIO DE DIRECCIÓN, INSTALACIÓN CABLE A TIERRA # 8 COBRE COBRE DESNUDO ACOPLADO A LA BANDEJA CON SUS RESPECTIVOS CONECTORES EN COBRE. </t>
  </si>
  <si>
    <t>CANALETA TIPO DUCTO CERRADO COLD ROLLED  DE 100X50 MM CON SEPARADOR CENTRAL. INCLUYE ACCESORIOS DE FIJACIÓN EMPALME, CAMBIO DE DIRECCIÓN Y TROQUELES PIRAMIDALES TRIPLES: PARA TOMAS NORMALES, REGULADOS Y DATOS. LA CUAL SE UTILIZARA EN LA RECEPCIÓN PARA LA ALIMENTACIÓN DE LOS ELEMENTOS ANTES MENCIONADOS.</t>
  </si>
  <si>
    <t xml:space="preserve">BANDEJA PORTA CABLE TIPO MALLA 50X300X3000 MM SISTEMA DATOS Y VOZ. INCLUYE ACCESORIOS DE FIJACIÓN EMPALME, CAMBIO DE DIRECCIÓN, INSTALACIÓN CABLE A TIERRA # 8 COBRE COBRE DESNUDO ACOPLADO A LA BANDEJA CON SUS RESPECTIVOS CONECTORES EN COBRE. </t>
  </si>
  <si>
    <t xml:space="preserve">UPS POWEST NICOMAR EA9915 UL 15 KVA + BANCO DE BATERIAS  15KVA (15,000VA) O 15,000 VATIOS. </t>
  </si>
  <si>
    <t xml:space="preserve">TABLERO AIRES ACONDICIONADOS. FABRICADO EN LÁMINA COLD ROLLED, CALIBRE 16 TIPO INTEMPERIE, TRATADA QUÍMICAMENTE PARA LA DESOXIDACIÓN, DESENGRASE Y FOSFATADO CON ACABADO FINAL EN PINTURA ELECTROSTÁTICA. COLOR GRIS RAL 7032. TIPO INTERIOR. GRADO DE PROTECCIÓN IP65.  </t>
  </si>
  <si>
    <t>TABLERO BANCO DE CONDENSADORES 59 KVAR-220 VAC. UN PASO FIJO DE 1 KVAR; UN PASO DE 2KVAR; UN PASO DE 5 KVAR DOS PASOS MOVIL DE 10 KVAR; DOS PASOS (02) MÓVILE 20 220V. FABRICADO EN LÁMINA COLD ROLLED, CALIBRE 18, TRATADA QUÍMICAMENTE PARA LA DESOXIDACIÓN, DESENGRASE Y FOSFATADO CON ACABADO FINAL EN PINTURA ELECTROSTÁTICA. COLOR GRIS RAL 7032. TIPO INTERIOR. GRADO DE PROTECCIÓN IP44.</t>
  </si>
  <si>
    <t>TABLERO TRANSFERENCIA A 208 VOL. FABRICADO EN LÁMINA COLD ROLLED, CALIBRE 18, TRATADA QUÍMICAMENTE PARA LA DESOXIDACIÓN, DESENGRASE Y FOSFATADO CON ACABADO FINAL EN PINTURA ELECTROSTÁTICA. COLOR GRIS RAL 7032. TIPO INTERIOR. GRADO DE PROTECCIÓN IP44.</t>
  </si>
  <si>
    <t>TABLERO BOMBAS JOCKEY A 208 VOL. TABLERO TERCOL TRIFÁSICO 12 CIRCUITOS TOTALIZADOR CON TOTALIZADOR</t>
  </si>
  <si>
    <t>TABLERO INTERNO DENTRO DE LOS  MAMÓGRAFOS 1 Y 2: FABRICADOS EN  COLOR BLANCO CON LAS PROTECCIONES REQUERIDAS CON HONGO, STAR Y STOP DE ENCENDIDO, EN SERIE CON EL HONGO DE PARADA CERCA A LA CONSOLA DISPARO INCLUYE EL CABLE VEHICULAR</t>
  </si>
  <si>
    <t>SISTEMA ELECTRICO REGULADO Y DE RESPALDO PARA PUESTOS DE TRABAJO</t>
  </si>
  <si>
    <t>TOMA NORMALES DOBLE P/T EN MUEBLE O MURO, MARCA LEVITON COLOR BLANCO TIPO 1,  15 AMPS EN  TUBERÍA EMT 3/4" CON SUS RESPECTIVOS ACCESORIOS POR CIELO RASO Y CABLE 7 HILOS DE COBRE TRENZADO 3#12 LSHF (LIBRE DE HALÓGENOS) INCLUYE ACOMETIDA DESDE TABLERO  TB P1 UBICADO EN CUARTO ELÉCTRICO.</t>
  </si>
  <si>
    <t>TOMA NORMALES DOBLE P/T EN MUEBLE O MURO, MARCA LEVITON GFCI  15 AMPS EN  TUBERÍA EMT 3/4" CON SUS RESPECTIVOS ACCESORIOS POR CIELO RASO Y CABLE 7 HILOS DE COBRE TRENZADO 3#12 LSHF (LIBRE DE HALÓGENOS) INCLUYE ACOMETIDA DESDE TABLERO  TB P1 UBICADO EN CUARTO ELÉCTRICO.</t>
  </si>
  <si>
    <t>TOMA NORMALES DOBLE P/T EN MUEBLE O MURO, MARCA LEVITON A 220 VOL 15 AMPS EN  TUBERÍA EMT 3/4" CON SUS RESPECTIVOS ACCESORIOS POR CIELO RASO Y CABLE 7 HILOS DE COBRE TRENZADO 3#12 LSHF (LIBRE DE HALÓGENOS) INCLUYE ACOMETIDA DESDE TABLERO  TB P1 UBICADO EN CUARTO ELÉCTRICO.</t>
  </si>
  <si>
    <t>TOMA NORMALES DOBLE P/T EN MUEBLE O MURO, MARCA LEVITON TIPO HOSPITALARIO 15 AMPS EN  TUBERÍA EMT 3/4" CON SUS RESPECTIVOS ACCESORIOS POR CIELO RASO Y CABLE 7 HILOS DE COBRE TRENZADO 3#12 LSHF (LIBRE DE HALÓGENOS) INCLUYE ACOMETIDA DESDE TABLERO  TB P1 UBICADO EN CUARTO ELÉCTRICO.</t>
  </si>
  <si>
    <t>TOMA DOBLE P/T EN MUEBLE O MURO MARCA LEVINTON COLOR NARANJA 15 AMPS, TUBERÍA EMT 3/4" CON SUS RESPECTIVOS ACCESORIOS POR CIELO RASO. EN CABLE 3X12 TRENZADO LSHF (LIBRE DE HALÓGENOS) SISTEMA ENERGÍA REGULADA, INCLUYE ACOMETIDA DESDE TABLERO  TB P1 UBICADO EN CUARTO ELÉCTRICO.</t>
  </si>
  <si>
    <t>TOMA DOBLE P/T EN MUEBLE O MURO MARCA LEVINTON COLOR ROJO HOSPITALARIO 15 AMPS, TUBERÍA EMT 3/4" CON SUS RESPECTIVOS ACCESORIOS POR CIELO RASO. EN CABLE 3X12 TRENZADO LSHF (LIBRE DE HALÓGENOS) SISTEMA ENERGÍA REGULADA, INCLUYE ACOMETIDA DESDE TABLERO  TB P1 UBICADO EN CUARTO ELÉCTRICO.</t>
  </si>
  <si>
    <t>LUMINARIA TIPO PANEL 30X30 LED 24 W DE INCRUSTAR.</t>
  </si>
  <si>
    <t xml:space="preserve">LUMINARIA TIPO LED 17X17 CMS 12 W. </t>
  </si>
  <si>
    <t>LAMPARA TORTUGA CON BOMBILLO 18 V SYLVANIA.</t>
  </si>
  <si>
    <t xml:space="preserve">LUMINARIA INDUSTRIAL TIPO HERMÉTICA, CON TUBO LED DIFUSOR EN VIDRIO, 2X18W T8, DE ALTA EFICACIA. </t>
  </si>
  <si>
    <t>BALA LED DE EMERGENCIA SLIM 5W DE USO NO PERMANENTE COLOR DE LUZ 6500K.</t>
  </si>
  <si>
    <t>AVISO SALIDA EN LED 3 W. ILUMINACIÓN DE EMERGENCIA EN LED 5W DE EMPOTRAR.</t>
  </si>
  <si>
    <t>LUMINARIAS LED TIPO PROYECTOR DE ALTA EFICACIA.</t>
  </si>
  <si>
    <t>BALA DE INTERIOR LED PARA EMPOTRAR 5.5 W LUZ, DÍA DIRIGIBLE.</t>
  </si>
  <si>
    <t xml:space="preserve">PUNTOS CAJAS PARA TOMAS DATOS Y VOZ. EN TUBERÍA SCH40 1 1/4", 3/4". CON SUS RESPECTIVOS ACCESORIOS; POR CIELO RASO. </t>
  </si>
  <si>
    <t>FACE PLATE 1 PUNTO BLANCO ANGULO  SENCILLOS  RJ 45 DE EMPOTRAR CATEGORÍA 7ª</t>
  </si>
  <si>
    <t>PATCH CORD DE 2 MTS CATEGORÍA 7A COLOR AZUL Y ROJO DE 2 TERAS, PC Y TELEFONO IPD.</t>
  </si>
  <si>
    <t>CANALETA RANURADA DIMENSIONES 60 ANCHO X 80 ALTO (MM) LONGITUD 2 METROS</t>
  </si>
  <si>
    <t>REGLETA ORGANIZADORA DE CABLE  DE 80X40 CMS VERTICAL CABLE 2U</t>
  </si>
  <si>
    <t xml:space="preserve">SALIDA RED DETENCIÓN DE INCENDIOS EN TUBERÍA EMT 3/4" INCLUYE CABLE DE INCENDIO FPLR 2×16 SIN BLINDAJE X 305 MTS HONEYWELL, CAJA 2400 GALVANIZADAS POR CADA SALIDA CON TAPA CIEGA 4X4 GALVANIZADA. CORAZA 1/2" PVC LIBRE DE HALÓGENOS Y SUS RESPECTIVOS CONECTORES. PARA LOS CENSORES DE HUMO DIRECCIONABLES, ESTACIONES.  MANUALES Y LUCES ESTROBOSCÓPICAS </t>
  </si>
  <si>
    <t>PUNTOS CAJAS PARA TOMAS CCTV EN TUBERÍA SCH40 1 1/4", 3/4". CON SUS RESPECTIVOS ACCESORIOS; POR CIELO RASO.</t>
  </si>
  <si>
    <t>ACOMETIDA DESDE TABLERO TB01 GENERAL  HASTA  EL TABLERO T.B. JOKEY GENERAL.  UBICADO EN CUARTO DE BOMBAS PRIMER PISO  EN (3 FASES #8+1 NEUTRO #8+1 TIERRA #8 LIBRE DE ALOGENOS) CON SUS RESPECTIVOS ACCESORIOS EN TUBERIA 4"EMT.</t>
  </si>
  <si>
    <t>UNIDAD MANEJADORA DE EXTRACCION DE AIRE 2500 CFM TRABAJO PESADO DOBLE PARED 1" CON POLIURETANO INYECTADO, ENSAMBLADA MODULARMENTE CON PERFILERIA DE PUENTE TERMICO PARA USO INTERIOR.</t>
  </si>
  <si>
    <t>UNIDAD MANEJADORA DE EXTRACCION DE AIRE 2000 CFM TRABAJO PESADO DOBLE PARED 1" CON POLIURETANO INYECTADO, ENSAMBLADA MODULARMENTE CON PERFILERIA DE PUENTE TERMICO Y CUBIERTA A DOS
AGUAS PARA USO EXTERIOR.</t>
  </si>
  <si>
    <t>TUBERIA COBRE 1/4" TIPO-FLEXIBLE"</t>
  </si>
  <si>
    <t>TUBERIA COBRE 3/8" TIPO-FLEXIBLE"</t>
  </si>
  <si>
    <t>TUBERIA COBRE 1/2" FLEXIBLE"</t>
  </si>
  <si>
    <t>TUBERIA COBRE 3/4" TIPO-M"</t>
  </si>
  <si>
    <t>SARDINEL EN CONCRETO 15X15 MAS HIERRO</t>
  </si>
  <si>
    <t>CORTASOL CELOSIA C40E LISO HUNTER DOUGLAS. ALUZINC.
COLOR GRIS, PINTADO POR AMBAS CARAS.INCLUYE: ESTRUCTURA DE ANCLAJE DE CELOSIA TUBULAR DE ALUMINIO DE 3" X 1 1/2".</t>
  </si>
  <si>
    <t xml:space="preserve">EQUIPO HIDRONEUMATICO DE V 300 LITROS </t>
  </si>
  <si>
    <t>CUBIERTA</t>
  </si>
  <si>
    <t>9.2</t>
  </si>
  <si>
    <t>9.2.1</t>
  </si>
  <si>
    <t>9.2.2</t>
  </si>
  <si>
    <t>9.2.3</t>
  </si>
  <si>
    <t>9.3</t>
  </si>
  <si>
    <t>9.3.1</t>
  </si>
  <si>
    <t>12.1</t>
  </si>
  <si>
    <t>14.1.12</t>
  </si>
  <si>
    <t>14.1.13</t>
  </si>
  <si>
    <t>14.1.14</t>
  </si>
  <si>
    <t>14.2.7</t>
  </si>
  <si>
    <t>14.2.8</t>
  </si>
  <si>
    <t>14.2.9</t>
  </si>
  <si>
    <t>14.2.10</t>
  </si>
  <si>
    <t>14.2.11</t>
  </si>
  <si>
    <t>14.2.12</t>
  </si>
  <si>
    <t>14.2.13</t>
  </si>
  <si>
    <t>14.2.14</t>
  </si>
  <si>
    <t>14.2.15</t>
  </si>
  <si>
    <t>14.3.10</t>
  </si>
  <si>
    <t>14.3.11</t>
  </si>
  <si>
    <t>14.3.12</t>
  </si>
  <si>
    <t>14.3.13</t>
  </si>
  <si>
    <t>14.3.14</t>
  </si>
  <si>
    <t>14.3.15</t>
  </si>
  <si>
    <t>14.3.16</t>
  </si>
  <si>
    <t>14.3.17</t>
  </si>
  <si>
    <t>14.3.18</t>
  </si>
  <si>
    <t>14.3.19</t>
  </si>
  <si>
    <t>14.3.20</t>
  </si>
  <si>
    <t>14.3.21</t>
  </si>
  <si>
    <t>14.3.22</t>
  </si>
  <si>
    <t>14.3.23</t>
  </si>
  <si>
    <t>14.3.24</t>
  </si>
  <si>
    <t>14.3.25</t>
  </si>
  <si>
    <t>14.3.26</t>
  </si>
  <si>
    <t>14.9</t>
  </si>
  <si>
    <t>14.9.1</t>
  </si>
  <si>
    <t>14.10</t>
  </si>
  <si>
    <t>14.10.1</t>
  </si>
  <si>
    <t>14.10.2</t>
  </si>
  <si>
    <t>14.10.3</t>
  </si>
  <si>
    <t>14.10.4</t>
  </si>
  <si>
    <t>14.10.5</t>
  </si>
  <si>
    <t>14.10.6</t>
  </si>
  <si>
    <t>14.10.7</t>
  </si>
  <si>
    <t>14.10.8</t>
  </si>
  <si>
    <t>SUBTOTAL CARPINTERIA METALICA</t>
  </si>
  <si>
    <t>1.3.2</t>
  </si>
  <si>
    <t>TEJA ACRILICA-PVC-POLICARBONATO</t>
  </si>
  <si>
    <t>14.11</t>
  </si>
  <si>
    <t>14.11.1</t>
  </si>
  <si>
    <t>14.11.2</t>
  </si>
  <si>
    <t>14.11.3</t>
  </si>
  <si>
    <t>14.11.4</t>
  </si>
  <si>
    <t>14.11.5</t>
  </si>
  <si>
    <t>14.11.6</t>
  </si>
  <si>
    <t>14.11.7</t>
  </si>
  <si>
    <t>14.11.8</t>
  </si>
  <si>
    <t>14.12</t>
  </si>
  <si>
    <t>14.12.1</t>
  </si>
  <si>
    <t>14.12.2</t>
  </si>
  <si>
    <t>14.12.3</t>
  </si>
  <si>
    <t>14.12.4</t>
  </si>
  <si>
    <t>14.12.5</t>
  </si>
  <si>
    <t>14.12.6</t>
  </si>
  <si>
    <t>14.12.7</t>
  </si>
  <si>
    <t>14.12.8</t>
  </si>
  <si>
    <t>14.13</t>
  </si>
  <si>
    <t>14.13.1</t>
  </si>
  <si>
    <t>14.13.2</t>
  </si>
  <si>
    <t>14.13.3</t>
  </si>
  <si>
    <t>14.13.4</t>
  </si>
  <si>
    <t>14.13.5</t>
  </si>
  <si>
    <t>14.13.6</t>
  </si>
  <si>
    <t>14.13.7</t>
  </si>
  <si>
    <t>14.13.8</t>
  </si>
  <si>
    <t>14.13.9</t>
  </si>
  <si>
    <t>14.13.10</t>
  </si>
  <si>
    <t>14.13.11</t>
  </si>
  <si>
    <t>14.13.12</t>
  </si>
  <si>
    <t>14.13.13</t>
  </si>
  <si>
    <t>14.13.14</t>
  </si>
  <si>
    <t>14.13.15</t>
  </si>
  <si>
    <t>14.13.16</t>
  </si>
  <si>
    <t>14.13.17</t>
  </si>
  <si>
    <t>14.13.18</t>
  </si>
  <si>
    <t>14.13.19</t>
  </si>
  <si>
    <t>14.13.20</t>
  </si>
  <si>
    <t>14.13.21</t>
  </si>
  <si>
    <t>14.13.22</t>
  </si>
  <si>
    <t>14.13.23</t>
  </si>
  <si>
    <t>14.13.24</t>
  </si>
  <si>
    <t>14.13.25</t>
  </si>
  <si>
    <t>14.13.26</t>
  </si>
  <si>
    <t>14.13.27</t>
  </si>
  <si>
    <t>14.13.28</t>
  </si>
  <si>
    <t>14.13.29</t>
  </si>
  <si>
    <t>14.13.30</t>
  </si>
  <si>
    <t>14.14</t>
  </si>
  <si>
    <t>14.14.1</t>
  </si>
  <si>
    <t>14.14.2</t>
  </si>
  <si>
    <t>14.14.3</t>
  </si>
  <si>
    <t>14.14.4</t>
  </si>
  <si>
    <t>14.14.5</t>
  </si>
  <si>
    <t>14.14.6</t>
  </si>
  <si>
    <t>14.14.7</t>
  </si>
  <si>
    <t>14.14.8</t>
  </si>
  <si>
    <t>14.14.9</t>
  </si>
  <si>
    <t>14.14.10</t>
  </si>
  <si>
    <t>14.14.11</t>
  </si>
  <si>
    <t>14.14.12</t>
  </si>
  <si>
    <t>14.14.13</t>
  </si>
  <si>
    <t>14.14.14</t>
  </si>
  <si>
    <t>14.14.15</t>
  </si>
  <si>
    <t>14.14.16</t>
  </si>
  <si>
    <t>14.14.17</t>
  </si>
  <si>
    <t>15.2.5</t>
  </si>
  <si>
    <t>15.2.6</t>
  </si>
  <si>
    <t>15.4.10</t>
  </si>
  <si>
    <t>15.4.11</t>
  </si>
  <si>
    <t>15.4.12</t>
  </si>
  <si>
    <t>15.5</t>
  </si>
  <si>
    <t>15.5.1</t>
  </si>
  <si>
    <t>15.5.2</t>
  </si>
  <si>
    <t>15.5.3</t>
  </si>
  <si>
    <t>15.5.4</t>
  </si>
  <si>
    <t>15.5.5</t>
  </si>
  <si>
    <t>15.5.6</t>
  </si>
  <si>
    <t>15.5.7</t>
  </si>
  <si>
    <t>15.5.8</t>
  </si>
  <si>
    <t>15.5.9</t>
  </si>
  <si>
    <t>15.5.10</t>
  </si>
  <si>
    <t>15.5.11</t>
  </si>
  <si>
    <t>15.5.12</t>
  </si>
  <si>
    <t>15.5.13</t>
  </si>
  <si>
    <t>15.6</t>
  </si>
  <si>
    <t>15.6.1</t>
  </si>
  <si>
    <t>15.6.2</t>
  </si>
  <si>
    <t>15.6.3</t>
  </si>
  <si>
    <t>15.6.4</t>
  </si>
  <si>
    <t>15.6.5</t>
  </si>
  <si>
    <t>15.6.6</t>
  </si>
  <si>
    <t>15.6.7</t>
  </si>
  <si>
    <t>15.7</t>
  </si>
  <si>
    <t>15.7.1</t>
  </si>
  <si>
    <t>15.7.2</t>
  </si>
  <si>
    <t>15.7.3</t>
  </si>
  <si>
    <t>15.7.4</t>
  </si>
  <si>
    <t>15.7.5</t>
  </si>
  <si>
    <t>15.8</t>
  </si>
  <si>
    <t>15.8.1</t>
  </si>
  <si>
    <t>15.8.2</t>
  </si>
  <si>
    <t>15.8.3</t>
  </si>
  <si>
    <t>15.8.4</t>
  </si>
  <si>
    <t>15.8.5</t>
  </si>
  <si>
    <t>15.8.6</t>
  </si>
  <si>
    <t>15.8.7</t>
  </si>
  <si>
    <t>15.8.8</t>
  </si>
  <si>
    <t>15.8.9</t>
  </si>
  <si>
    <t>15.8.10</t>
  </si>
  <si>
    <t>15.8.11</t>
  </si>
  <si>
    <t>15.8.12</t>
  </si>
  <si>
    <t>15.8.13</t>
  </si>
  <si>
    <t>15.8.14</t>
  </si>
  <si>
    <t>15.8.15</t>
  </si>
  <si>
    <t>15.8.16</t>
  </si>
  <si>
    <t>15.8.17</t>
  </si>
  <si>
    <t>15.8.18</t>
  </si>
  <si>
    <t>15.8.19</t>
  </si>
  <si>
    <t>16.1.5</t>
  </si>
  <si>
    <t>16.1.12</t>
  </si>
  <si>
    <t>16.1.13</t>
  </si>
  <si>
    <t>16.1.14</t>
  </si>
  <si>
    <t>16.1.15</t>
  </si>
  <si>
    <t>16.1.16</t>
  </si>
  <si>
    <t>16.2.1</t>
  </si>
  <si>
    <t>16.2.2</t>
  </si>
  <si>
    <t>16.2.3</t>
  </si>
  <si>
    <t>16.2.4</t>
  </si>
  <si>
    <t>16.2</t>
  </si>
  <si>
    <t>16.3</t>
  </si>
  <si>
    <t>16.3.1</t>
  </si>
  <si>
    <t>16.3.2</t>
  </si>
  <si>
    <t>16.3.3</t>
  </si>
  <si>
    <t>16.3.4</t>
  </si>
  <si>
    <t>16.3.5</t>
  </si>
  <si>
    <t>16.3.6</t>
  </si>
  <si>
    <t>16.3.7</t>
  </si>
  <si>
    <t>16.3.8</t>
  </si>
  <si>
    <t>16.3.9</t>
  </si>
  <si>
    <t>16.3.10</t>
  </si>
  <si>
    <t>16.3.11</t>
  </si>
  <si>
    <t>16.4</t>
  </si>
  <si>
    <t>16.4.1</t>
  </si>
  <si>
    <t>16.4.2</t>
  </si>
  <si>
    <t>16.4.3</t>
  </si>
  <si>
    <t>16.4.4</t>
  </si>
  <si>
    <t>16.4.5</t>
  </si>
  <si>
    <t>16.4.6</t>
  </si>
  <si>
    <t>16.4.7</t>
  </si>
  <si>
    <t>16.4.8</t>
  </si>
  <si>
    <t>16.4.9</t>
  </si>
  <si>
    <t>17.1.4</t>
  </si>
  <si>
    <t>17.1.5</t>
  </si>
  <si>
    <t>17.1.6</t>
  </si>
  <si>
    <t>17.1.7</t>
  </si>
  <si>
    <t>18.1.2</t>
  </si>
  <si>
    <t>18.1.3</t>
  </si>
  <si>
    <t>19.1</t>
  </si>
  <si>
    <t>19.1.1</t>
  </si>
  <si>
    <t>1.2.1</t>
  </si>
  <si>
    <t>1.2.2</t>
  </si>
  <si>
    <t>1.2.3</t>
  </si>
  <si>
    <t>1.2.4</t>
  </si>
  <si>
    <t>1.2.5</t>
  </si>
  <si>
    <t>1.2.6</t>
  </si>
  <si>
    <t>1.2.7</t>
  </si>
  <si>
    <t>2.2</t>
  </si>
  <si>
    <t>UNIDAD MANEJADORA TRABAJO PESADO DE 5.000 CFM DOBLE PARED AISLADO CON POLIURETANO DE 2", ENSAMBLADA MODULARMENTE CON PERFILERIA DE PUENTE TERMICO, PINTURA ELECTROSTATICA GRIS Y CUBIERTA A DOS AGUAS PARA USO EXTERIOR.</t>
  </si>
  <si>
    <t>6.2</t>
  </si>
  <si>
    <t>6.3</t>
  </si>
  <si>
    <t>6.4</t>
  </si>
  <si>
    <t>6.5</t>
  </si>
  <si>
    <t>6.6</t>
  </si>
  <si>
    <t>6.7</t>
  </si>
  <si>
    <t>6.8</t>
  </si>
  <si>
    <t>TOTAL PROYECTO</t>
  </si>
  <si>
    <t>VALOR TOTAL VIG 2025</t>
  </si>
  <si>
    <t>VALOR TOTAL VIG 2026</t>
  </si>
  <si>
    <t>VALOR TOTAL VIG 2027</t>
  </si>
  <si>
    <t>PRECIO REFERENCIA</t>
  </si>
  <si>
    <t>PRESUPUESTO OFICIAL- ADECUACIÓN Y AMPLIACIÓN DE LOS SERVICIOS DE APOYO DIAGNOSTICO Y ATENCIÓN A LA MUJER 
DE LA CLINICA DE LA MAMA EN LA 
IPS LA RIVERA ADSCRITA A LA RED DE SALUD DEL NORTE ESE - CALI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</si>
</sst>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 * #,##0.00_ ;_ * \-#,##0.00_ ;_ * &quot;-&quot;??_ ;_ @_ "/>
    <numFmt numFmtId="166" formatCode="_ * #,##0_ ;_ * \-#,##0_ ;_ * &quot;-&quot;??_ ;_ @_ "/>
    <numFmt numFmtId="167" formatCode="_-&quot;$&quot;* #,##0.00_-;\-&quot;$&quot;* #,##0.00_-;_-&quot;$&quot;* &quot;-&quot;_-;_-@_-"/>
    <numFmt numFmtId="168" formatCode="0.0%"/>
    <numFmt numFmtId="169" formatCode="_-* #,##0\ _€_-;\-* #,##0\ _€_-;_-* &quot;-&quot;??\ _€_-;_-@_-"/>
    <numFmt numFmtId="170" formatCode="General\ "/>
    <numFmt numFmtId="171" formatCode="_-* #,##0.00_-;\-* #,##0.00_-;_-* &quot;-&quot;_-;_-@_-"/>
    <numFmt numFmtId="172" formatCode="_(&quot;$&quot;* #,##0.00_);_(&quot;$&quot;* \(#,##0.00\);_(&quot;$&quot;* &quot;-&quot;??_);_(@_)"/>
    <numFmt numFmtId="173" formatCode="_-* #,##0_-;\-* #,##0_-;_-* &quot;-&quot;??_-;_-@_-"/>
    <numFmt numFmtId="174" formatCode="_-* #,##0.0_-;\-* #,##0.0_-;_-* &quot;-&quot;??_-;_-@_-"/>
    <numFmt numFmtId="175" formatCode="_-&quot;$&quot;* #,##0.0_-;\-&quot;$&quot;* #,##0.0_-;_-&quot;$&quot;* &quot;-&quot;_-;_-@_-"/>
  </numFmts>
  <fonts count="1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8" fillId="0" borderId="0"/>
    <xf numFmtId="4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11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2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center"/>
    </xf>
    <xf numFmtId="0" fontId="0" fillId="7" borderId="0" xfId="0" applyFill="1"/>
    <xf numFmtId="0" fontId="0" fillId="8" borderId="0" xfId="0" applyFill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7" fillId="0" borderId="0" xfId="0" applyFont="1"/>
    <xf numFmtId="0" fontId="0" fillId="9" borderId="0" xfId="0" applyFill="1" applyAlignment="1">
      <alignment horizontal="center" vertical="center"/>
    </xf>
    <xf numFmtId="0" fontId="0" fillId="9" borderId="0" xfId="0" applyFill="1"/>
    <xf numFmtId="0" fontId="10" fillId="9" borderId="0" xfId="0" applyFont="1" applyFill="1"/>
    <xf numFmtId="0" fontId="0" fillId="10" borderId="0" xfId="0" applyFill="1"/>
    <xf numFmtId="0" fontId="10" fillId="10" borderId="0" xfId="0" applyFont="1" applyFill="1"/>
    <xf numFmtId="0" fontId="0" fillId="11" borderId="0" xfId="0" applyFill="1"/>
    <xf numFmtId="0" fontId="10" fillId="11" borderId="0" xfId="0" applyFont="1" applyFill="1"/>
    <xf numFmtId="0" fontId="0" fillId="12" borderId="0" xfId="0" applyFill="1"/>
    <xf numFmtId="0" fontId="10" fillId="12" borderId="0" xfId="0" applyFont="1" applyFill="1"/>
    <xf numFmtId="0" fontId="0" fillId="13" borderId="0" xfId="0" applyFill="1"/>
    <xf numFmtId="0" fontId="10" fillId="13" borderId="0" xfId="0" applyFont="1" applyFill="1"/>
    <xf numFmtId="0" fontId="0" fillId="14" borderId="0" xfId="0" applyFill="1"/>
    <xf numFmtId="0" fontId="0" fillId="0" borderId="0" xfId="0" applyAlignment="1">
      <alignment horizontal="right"/>
    </xf>
    <xf numFmtId="0" fontId="0" fillId="14" borderId="0" xfId="0" applyFill="1" applyAlignment="1">
      <alignment horizontal="center"/>
    </xf>
    <xf numFmtId="0" fontId="0" fillId="16" borderId="0" xfId="0" applyFill="1"/>
    <xf numFmtId="0" fontId="0" fillId="16" borderId="0" xfId="0" applyFill="1" applyAlignment="1">
      <alignment horizontal="center"/>
    </xf>
    <xf numFmtId="1" fontId="10" fillId="0" borderId="0" xfId="0" applyNumberFormat="1" applyFont="1"/>
    <xf numFmtId="9" fontId="0" fillId="0" borderId="0" xfId="0" applyNumberFormat="1"/>
    <xf numFmtId="164" fontId="0" fillId="0" borderId="0" xfId="1" applyFont="1"/>
    <xf numFmtId="171" fontId="0" fillId="0" borderId="0" xfId="5" applyNumberFormat="1" applyFont="1"/>
    <xf numFmtId="0" fontId="12" fillId="0" borderId="0" xfId="0" applyFont="1" applyAlignment="1">
      <alignment vertical="center"/>
    </xf>
    <xf numFmtId="164" fontId="12" fillId="0" borderId="0" xfId="1" applyFont="1" applyAlignment="1">
      <alignment vertical="center"/>
    </xf>
    <xf numFmtId="164" fontId="12" fillId="0" borderId="0" xfId="1" applyFont="1" applyAlignment="1">
      <alignment horizontal="center" vertical="center"/>
    </xf>
    <xf numFmtId="41" fontId="12" fillId="0" borderId="0" xfId="5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6" borderId="0" xfId="0" applyFont="1" applyFill="1" applyAlignment="1">
      <alignment vertical="center"/>
    </xf>
    <xf numFmtId="44" fontId="12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64" fontId="12" fillId="0" borderId="0" xfId="1" applyFont="1" applyBorder="1" applyAlignment="1">
      <alignment vertical="center" wrapText="1"/>
    </xf>
    <xf numFmtId="0" fontId="12" fillId="0" borderId="1" xfId="0" applyFont="1" applyBorder="1" applyAlignment="1">
      <alignment horizontal="right" vertical="center" wrapText="1"/>
    </xf>
    <xf numFmtId="168" fontId="12" fillId="0" borderId="1" xfId="0" applyNumberFormat="1" applyFont="1" applyBorder="1" applyAlignment="1">
      <alignment horizontal="right" vertical="center" wrapText="1"/>
    </xf>
    <xf numFmtId="164" fontId="12" fillId="0" borderId="1" xfId="1" applyFont="1" applyFill="1" applyBorder="1" applyAlignment="1">
      <alignment vertical="center" wrapText="1"/>
    </xf>
    <xf numFmtId="168" fontId="12" fillId="0" borderId="1" xfId="2" applyNumberFormat="1" applyFont="1" applyFill="1" applyBorder="1" applyAlignment="1">
      <alignment horizontal="right" vertical="center" wrapText="1"/>
    </xf>
    <xf numFmtId="164" fontId="15" fillId="5" borderId="0" xfId="1" applyFont="1" applyFill="1" applyBorder="1" applyAlignment="1">
      <alignment vertical="center" wrapText="1"/>
    </xf>
    <xf numFmtId="168" fontId="12" fillId="0" borderId="1" xfId="0" applyNumberFormat="1" applyFont="1" applyBorder="1" applyAlignment="1">
      <alignment horizontal="center" vertical="center" wrapText="1"/>
    </xf>
    <xf numFmtId="164" fontId="12" fillId="0" borderId="2" xfId="1" applyFont="1" applyFill="1" applyBorder="1" applyAlignment="1">
      <alignment vertical="center" wrapText="1"/>
    </xf>
    <xf numFmtId="0" fontId="13" fillId="16" borderId="1" xfId="0" applyFont="1" applyFill="1" applyBorder="1" applyAlignment="1">
      <alignment horizontal="center" vertical="center" wrapText="1"/>
    </xf>
    <xf numFmtId="44" fontId="12" fillId="0" borderId="0" xfId="8" applyFont="1" applyAlignment="1">
      <alignment vertical="center"/>
    </xf>
    <xf numFmtId="0" fontId="12" fillId="0" borderId="3" xfId="0" applyFont="1" applyBorder="1" applyAlignment="1">
      <alignment vertical="center"/>
    </xf>
    <xf numFmtId="0" fontId="13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164" fontId="12" fillId="0" borderId="0" xfId="1" applyFont="1" applyBorder="1" applyAlignment="1">
      <alignment vertical="center"/>
    </xf>
    <xf numFmtId="164" fontId="12" fillId="0" borderId="0" xfId="1" applyFont="1" applyBorder="1" applyAlignment="1">
      <alignment horizontal="center" vertical="center"/>
    </xf>
    <xf numFmtId="41" fontId="12" fillId="0" borderId="0" xfId="5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3" fillId="16" borderId="8" xfId="0" applyFont="1" applyFill="1" applyBorder="1" applyAlignment="1">
      <alignment horizontal="center" vertical="center" wrapText="1"/>
    </xf>
    <xf numFmtId="0" fontId="13" fillId="16" borderId="2" xfId="0" applyFont="1" applyFill="1" applyBorder="1" applyAlignment="1">
      <alignment horizontal="center" vertical="center" wrapText="1"/>
    </xf>
    <xf numFmtId="164" fontId="12" fillId="0" borderId="0" xfId="0" applyNumberFormat="1" applyFont="1" applyAlignment="1">
      <alignment vertical="center" wrapText="1"/>
    </xf>
    <xf numFmtId="0" fontId="14" fillId="0" borderId="6" xfId="0" applyFont="1" applyBorder="1" applyAlignment="1">
      <alignment vertical="center"/>
    </xf>
    <xf numFmtId="0" fontId="15" fillId="5" borderId="0" xfId="0" applyFont="1" applyFill="1" applyAlignment="1">
      <alignment vertical="center" wrapText="1"/>
    </xf>
    <xf numFmtId="164" fontId="14" fillId="0" borderId="0" xfId="1" applyFont="1" applyBorder="1" applyAlignment="1">
      <alignment vertical="center"/>
    </xf>
    <xf numFmtId="164" fontId="5" fillId="0" borderId="0" xfId="1" applyFont="1" applyBorder="1" applyAlignment="1">
      <alignment horizontal="center" vertical="center"/>
    </xf>
    <xf numFmtId="164" fontId="14" fillId="0" borderId="0" xfId="1" applyFont="1" applyBorder="1" applyAlignment="1">
      <alignment horizontal="center" vertical="center"/>
    </xf>
    <xf numFmtId="41" fontId="14" fillId="0" borderId="0" xfId="5" applyFont="1" applyBorder="1" applyAlignment="1">
      <alignment vertical="center"/>
    </xf>
    <xf numFmtId="164" fontId="15" fillId="5" borderId="7" xfId="1" applyFont="1" applyFill="1" applyBorder="1" applyAlignment="1">
      <alignment vertical="center" wrapText="1"/>
    </xf>
    <xf numFmtId="0" fontId="13" fillId="0" borderId="0" xfId="0" applyFont="1" applyAlignment="1">
      <alignment vertical="center" wrapText="1"/>
    </xf>
    <xf numFmtId="172" fontId="12" fillId="0" borderId="0" xfId="0" applyNumberFormat="1" applyFont="1" applyAlignment="1">
      <alignment vertical="center"/>
    </xf>
    <xf numFmtId="0" fontId="12" fillId="0" borderId="0" xfId="0" applyFont="1" applyAlignment="1">
      <alignment horizontal="left" vertical="center" wrapText="1"/>
    </xf>
    <xf numFmtId="169" fontId="12" fillId="0" borderId="0" xfId="0" applyNumberFormat="1" applyFont="1" applyAlignment="1">
      <alignment vertical="center" wrapText="1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164" fontId="12" fillId="0" borderId="10" xfId="1" applyFont="1" applyBorder="1" applyAlignment="1">
      <alignment vertical="center"/>
    </xf>
    <xf numFmtId="164" fontId="12" fillId="0" borderId="10" xfId="1" applyFont="1" applyBorder="1" applyAlignment="1">
      <alignment horizontal="center" vertical="center"/>
    </xf>
    <xf numFmtId="0" fontId="12" fillId="0" borderId="10" xfId="0" applyFont="1" applyBorder="1" applyAlignment="1">
      <alignment vertical="center"/>
    </xf>
    <xf numFmtId="41" fontId="12" fillId="0" borderId="10" xfId="5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4" borderId="1" xfId="0" applyFont="1" applyFill="1" applyBorder="1" applyAlignment="1">
      <alignment horizontal="center" vertical="center" wrapText="1"/>
    </xf>
    <xf numFmtId="164" fontId="13" fillId="4" borderId="1" xfId="1" applyFont="1" applyFill="1" applyBorder="1" applyAlignment="1">
      <alignment vertical="center" wrapText="1"/>
    </xf>
    <xf numFmtId="164" fontId="13" fillId="0" borderId="1" xfId="1" applyFont="1" applyBorder="1" applyAlignment="1">
      <alignment vertical="center"/>
    </xf>
    <xf numFmtId="164" fontId="13" fillId="0" borderId="1" xfId="1" applyFont="1" applyBorder="1" applyAlignment="1">
      <alignment horizontal="center" vertical="center"/>
    </xf>
    <xf numFmtId="41" fontId="13" fillId="0" borderId="1" xfId="5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166" fontId="13" fillId="2" borderId="1" xfId="0" applyNumberFormat="1" applyFont="1" applyFill="1" applyBorder="1" applyAlignment="1">
      <alignment vertical="center" wrapText="1"/>
    </xf>
    <xf numFmtId="164" fontId="12" fillId="0" borderId="1" xfId="1" applyFont="1" applyBorder="1" applyAlignment="1">
      <alignment vertical="center"/>
    </xf>
    <xf numFmtId="164" fontId="12" fillId="0" borderId="1" xfId="1" applyFont="1" applyBorder="1" applyAlignment="1">
      <alignment horizontal="center" vertical="center"/>
    </xf>
    <xf numFmtId="41" fontId="12" fillId="0" borderId="1" xfId="5" applyFont="1" applyBorder="1" applyAlignment="1">
      <alignment vertical="center"/>
    </xf>
    <xf numFmtId="1" fontId="12" fillId="0" borderId="1" xfId="0" applyNumberFormat="1" applyFont="1" applyBorder="1" applyAlignment="1">
      <alignment vertical="center"/>
    </xf>
    <xf numFmtId="10" fontId="12" fillId="0" borderId="1" xfId="0" applyNumberFormat="1" applyFont="1" applyBorder="1" applyAlignment="1">
      <alignment vertical="center"/>
    </xf>
    <xf numFmtId="44" fontId="12" fillId="0" borderId="1" xfId="8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2" fontId="12" fillId="3" borderId="1" xfId="0" applyNumberFormat="1" applyFont="1" applyFill="1" applyBorder="1" applyAlignment="1">
      <alignment vertical="center" wrapText="1"/>
    </xf>
    <xf numFmtId="164" fontId="12" fillId="0" borderId="1" xfId="0" applyNumberFormat="1" applyFont="1" applyBorder="1" applyAlignment="1">
      <alignment vertical="center" wrapText="1"/>
    </xf>
    <xf numFmtId="164" fontId="12" fillId="0" borderId="1" xfId="1" applyFont="1" applyBorder="1" applyAlignment="1">
      <alignment vertical="center" wrapText="1"/>
    </xf>
    <xf numFmtId="44" fontId="12" fillId="0" borderId="1" xfId="0" applyNumberFormat="1" applyFont="1" applyBorder="1" applyAlignment="1">
      <alignment vertical="center"/>
    </xf>
    <xf numFmtId="166" fontId="12" fillId="0" borderId="1" xfId="0" applyNumberFormat="1" applyFont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165" fontId="12" fillId="0" borderId="1" xfId="0" applyNumberFormat="1" applyFont="1" applyBorder="1" applyAlignment="1">
      <alignment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vertical="center" wrapText="1"/>
    </xf>
    <xf numFmtId="164" fontId="13" fillId="2" borderId="1" xfId="1" applyFont="1" applyFill="1" applyBorder="1" applyAlignment="1">
      <alignment vertical="center" wrapText="1"/>
    </xf>
    <xf numFmtId="49" fontId="12" fillId="0" borderId="1" xfId="0" applyNumberFormat="1" applyFont="1" applyBorder="1" applyAlignment="1">
      <alignment horizontal="right" vertical="center"/>
    </xf>
    <xf numFmtId="164" fontId="12" fillId="0" borderId="1" xfId="1" applyFont="1" applyFill="1" applyBorder="1" applyAlignment="1" applyProtection="1">
      <alignment horizontal="right" vertical="center" wrapText="1"/>
      <protection hidden="1"/>
    </xf>
    <xf numFmtId="164" fontId="12" fillId="0" borderId="1" xfId="1" applyFont="1" applyBorder="1" applyAlignment="1" applyProtection="1">
      <alignment horizontal="right" vertical="center" wrapText="1"/>
      <protection hidden="1"/>
    </xf>
    <xf numFmtId="164" fontId="12" fillId="6" borderId="1" xfId="1" applyFont="1" applyFill="1" applyBorder="1" applyAlignment="1">
      <alignment vertical="center"/>
    </xf>
    <xf numFmtId="164" fontId="12" fillId="6" borderId="1" xfId="1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vertical="center"/>
    </xf>
    <xf numFmtId="1" fontId="12" fillId="6" borderId="1" xfId="0" applyNumberFormat="1" applyFont="1" applyFill="1" applyBorder="1" applyAlignment="1">
      <alignment vertical="center"/>
    </xf>
    <xf numFmtId="41" fontId="12" fillId="6" borderId="1" xfId="5" applyFont="1" applyFill="1" applyBorder="1" applyAlignment="1">
      <alignment vertical="center"/>
    </xf>
    <xf numFmtId="2" fontId="12" fillId="0" borderId="1" xfId="0" applyNumberFormat="1" applyFont="1" applyBorder="1" applyAlignment="1">
      <alignment vertical="center" wrapText="1"/>
    </xf>
    <xf numFmtId="164" fontId="13" fillId="15" borderId="1" xfId="1" applyFont="1" applyFill="1" applyBorder="1" applyAlignment="1">
      <alignment vertical="center" wrapText="1"/>
    </xf>
    <xf numFmtId="164" fontId="12" fillId="4" borderId="1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164" fontId="12" fillId="2" borderId="1" xfId="1" applyFont="1" applyFill="1" applyBorder="1" applyAlignment="1">
      <alignment vertical="center" wrapText="1"/>
    </xf>
    <xf numFmtId="3" fontId="12" fillId="4" borderId="1" xfId="0" applyNumberFormat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164" fontId="12" fillId="0" borderId="1" xfId="0" applyNumberFormat="1" applyFont="1" applyBorder="1" applyAlignment="1">
      <alignment vertical="center"/>
    </xf>
    <xf numFmtId="173" fontId="12" fillId="0" borderId="1" xfId="9" applyNumberFormat="1" applyFont="1" applyFill="1" applyBorder="1" applyAlignment="1">
      <alignment vertical="center" wrapText="1"/>
    </xf>
    <xf numFmtId="174" fontId="12" fillId="0" borderId="1" xfId="9" applyNumberFormat="1" applyFont="1" applyFill="1" applyBorder="1" applyAlignment="1">
      <alignment vertical="center" wrapText="1"/>
    </xf>
    <xf numFmtId="43" fontId="12" fillId="0" borderId="1" xfId="9" applyFont="1" applyBorder="1" applyAlignment="1">
      <alignment vertical="center" wrapText="1"/>
    </xf>
    <xf numFmtId="43" fontId="12" fillId="0" borderId="1" xfId="1" applyNumberFormat="1" applyFont="1" applyFill="1" applyBorder="1" applyAlignment="1">
      <alignment vertical="center" wrapText="1"/>
    </xf>
    <xf numFmtId="43" fontId="12" fillId="0" borderId="1" xfId="9" applyFont="1" applyFill="1" applyBorder="1" applyAlignment="1">
      <alignment vertical="center" wrapText="1"/>
    </xf>
    <xf numFmtId="43" fontId="12" fillId="0" borderId="1" xfId="9" applyFont="1" applyBorder="1" applyAlignment="1">
      <alignment vertical="center"/>
    </xf>
    <xf numFmtId="167" fontId="12" fillId="0" borderId="1" xfId="0" applyNumberFormat="1" applyFont="1" applyBorder="1" applyAlignment="1">
      <alignment vertical="center"/>
    </xf>
    <xf numFmtId="0" fontId="13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2" fontId="12" fillId="2" borderId="1" xfId="0" applyNumberFormat="1" applyFont="1" applyFill="1" applyBorder="1" applyAlignment="1">
      <alignment vertical="center" wrapText="1"/>
    </xf>
    <xf numFmtId="1" fontId="12" fillId="3" borderId="1" xfId="0" applyNumberFormat="1" applyFont="1" applyFill="1" applyBorder="1" applyAlignment="1">
      <alignment vertical="center" wrapText="1"/>
    </xf>
    <xf numFmtId="41" fontId="12" fillId="8" borderId="1" xfId="5" applyFont="1" applyFill="1" applyBorder="1" applyAlignment="1">
      <alignment vertical="center"/>
    </xf>
    <xf numFmtId="43" fontId="12" fillId="3" borderId="1" xfId="9" applyFont="1" applyFill="1" applyBorder="1" applyAlignment="1">
      <alignment vertical="center" wrapText="1"/>
    </xf>
    <xf numFmtId="173" fontId="12" fillId="0" borderId="1" xfId="9" applyNumberFormat="1" applyFont="1" applyBorder="1" applyAlignment="1">
      <alignment vertical="center" wrapText="1"/>
    </xf>
    <xf numFmtId="3" fontId="12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165" fontId="12" fillId="3" borderId="1" xfId="0" applyNumberFormat="1" applyFont="1" applyFill="1" applyBorder="1" applyAlignment="1">
      <alignment vertical="center" wrapText="1"/>
    </xf>
    <xf numFmtId="49" fontId="5" fillId="0" borderId="1" xfId="0" applyNumberFormat="1" applyFont="1" applyBorder="1" applyAlignment="1">
      <alignment horizontal="right" vertical="center"/>
    </xf>
    <xf numFmtId="0" fontId="16" fillId="0" borderId="1" xfId="0" applyFont="1" applyBorder="1"/>
    <xf numFmtId="0" fontId="16" fillId="0" borderId="1" xfId="0" applyFont="1" applyBorder="1" applyAlignment="1">
      <alignment vertical="center" wrapText="1"/>
    </xf>
    <xf numFmtId="4" fontId="12" fillId="4" borderId="1" xfId="0" applyNumberFormat="1" applyFont="1" applyFill="1" applyBorder="1" applyAlignment="1">
      <alignment vertical="center" wrapText="1"/>
    </xf>
    <xf numFmtId="167" fontId="13" fillId="2" borderId="1" xfId="1" applyNumberFormat="1" applyFont="1" applyFill="1" applyBorder="1" applyAlignment="1">
      <alignment horizontal="center" vertical="center" wrapText="1"/>
    </xf>
    <xf numFmtId="43" fontId="12" fillId="0" borderId="1" xfId="9" applyFont="1" applyBorder="1" applyAlignment="1" applyProtection="1">
      <alignment horizontal="right"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9" fontId="12" fillId="0" borderId="1" xfId="0" applyNumberFormat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43" fontId="12" fillId="0" borderId="1" xfId="9" applyFont="1" applyFill="1" applyBorder="1" applyAlignment="1" applyProtection="1">
      <alignment horizontal="right" vertical="center" wrapText="1"/>
      <protection hidden="1"/>
    </xf>
    <xf numFmtId="2" fontId="13" fillId="2" borderId="1" xfId="0" applyNumberFormat="1" applyFont="1" applyFill="1" applyBorder="1" applyAlignment="1">
      <alignment horizontal="right" vertical="center" wrapText="1"/>
    </xf>
    <xf numFmtId="9" fontId="12" fillId="0" borderId="1" xfId="0" applyNumberFormat="1" applyFont="1" applyBorder="1" applyAlignment="1">
      <alignment vertical="center" wrapText="1"/>
    </xf>
    <xf numFmtId="164" fontId="13" fillId="4" borderId="1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72" fontId="12" fillId="0" borderId="1" xfId="0" applyNumberFormat="1" applyFont="1" applyBorder="1" applyAlignment="1">
      <alignment vertical="center"/>
    </xf>
    <xf numFmtId="41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74" fontId="12" fillId="0" borderId="1" xfId="9" applyNumberFormat="1" applyFont="1" applyBorder="1" applyAlignment="1">
      <alignment vertical="center" wrapText="1"/>
    </xf>
    <xf numFmtId="175" fontId="12" fillId="0" borderId="1" xfId="1" applyNumberFormat="1" applyFont="1" applyBorder="1" applyAlignment="1">
      <alignment vertical="center" wrapText="1"/>
    </xf>
    <xf numFmtId="167" fontId="12" fillId="0" borderId="1" xfId="1" applyNumberFormat="1" applyFont="1" applyBorder="1" applyAlignment="1">
      <alignment vertical="center" wrapText="1"/>
    </xf>
    <xf numFmtId="175" fontId="12" fillId="0" borderId="1" xfId="1" applyNumberFormat="1" applyFont="1" applyFill="1" applyBorder="1" applyAlignment="1">
      <alignment vertical="center" wrapText="1"/>
    </xf>
    <xf numFmtId="167" fontId="12" fillId="0" borderId="1" xfId="1" applyNumberFormat="1" applyFont="1" applyFill="1" applyBorder="1" applyAlignment="1">
      <alignment vertical="center" wrapText="1"/>
    </xf>
    <xf numFmtId="167" fontId="12" fillId="0" borderId="1" xfId="1" applyNumberFormat="1" applyFont="1" applyFill="1" applyBorder="1" applyAlignment="1" applyProtection="1">
      <alignment horizontal="right" vertical="center" wrapText="1"/>
      <protection hidden="1"/>
    </xf>
    <xf numFmtId="9" fontId="12" fillId="0" borderId="0" xfId="2" applyFont="1" applyAlignment="1">
      <alignment vertical="center"/>
    </xf>
    <xf numFmtId="173" fontId="12" fillId="0" borderId="0" xfId="0" applyNumberFormat="1" applyFont="1" applyAlignment="1">
      <alignment vertical="center"/>
    </xf>
    <xf numFmtId="0" fontId="12" fillId="0" borderId="0" xfId="2" applyNumberFormat="1" applyFont="1" applyAlignment="1">
      <alignment vertical="center"/>
    </xf>
    <xf numFmtId="0" fontId="14" fillId="17" borderId="6" xfId="0" applyFont="1" applyFill="1" applyBorder="1" applyAlignment="1">
      <alignment vertical="center"/>
    </xf>
    <xf numFmtId="0" fontId="15" fillId="17" borderId="0" xfId="0" applyFont="1" applyFill="1" applyAlignment="1">
      <alignment vertical="center" wrapText="1"/>
    </xf>
    <xf numFmtId="164" fontId="15" fillId="17" borderId="0" xfId="1" applyFont="1" applyFill="1" applyBorder="1" applyAlignment="1">
      <alignment vertical="center" wrapText="1"/>
    </xf>
    <xf numFmtId="164" fontId="14" fillId="17" borderId="0" xfId="1" applyFont="1" applyFill="1" applyBorder="1" applyAlignment="1">
      <alignment vertical="center"/>
    </xf>
    <xf numFmtId="164" fontId="5" fillId="17" borderId="0" xfId="1" applyFont="1" applyFill="1" applyBorder="1" applyAlignment="1">
      <alignment horizontal="center" vertical="center"/>
    </xf>
    <xf numFmtId="164" fontId="14" fillId="17" borderId="0" xfId="1" applyFont="1" applyFill="1" applyBorder="1" applyAlignment="1">
      <alignment horizontal="center" vertical="center"/>
    </xf>
    <xf numFmtId="0" fontId="14" fillId="17" borderId="0" xfId="0" applyFont="1" applyFill="1" applyAlignment="1">
      <alignment vertical="center"/>
    </xf>
    <xf numFmtId="41" fontId="14" fillId="17" borderId="0" xfId="5" applyFont="1" applyFill="1" applyBorder="1" applyAlignment="1">
      <alignment vertical="center"/>
    </xf>
    <xf numFmtId="0" fontId="12" fillId="17" borderId="0" xfId="0" applyFont="1" applyFill="1" applyAlignment="1">
      <alignment vertical="center"/>
    </xf>
    <xf numFmtId="0" fontId="14" fillId="17" borderId="1" xfId="0" applyFont="1" applyFill="1" applyBorder="1" applyAlignment="1">
      <alignment vertical="center"/>
    </xf>
    <xf numFmtId="0" fontId="15" fillId="17" borderId="1" xfId="0" applyFont="1" applyFill="1" applyBorder="1" applyAlignment="1">
      <alignment vertical="center" wrapText="1"/>
    </xf>
    <xf numFmtId="164" fontId="15" fillId="17" borderId="1" xfId="1" applyFont="1" applyFill="1" applyBorder="1" applyAlignment="1">
      <alignment vertical="center" wrapText="1"/>
    </xf>
    <xf numFmtId="164" fontId="14" fillId="17" borderId="1" xfId="1" applyFont="1" applyFill="1" applyBorder="1" applyAlignment="1">
      <alignment vertical="center"/>
    </xf>
    <xf numFmtId="164" fontId="5" fillId="17" borderId="1" xfId="1" applyFont="1" applyFill="1" applyBorder="1" applyAlignment="1">
      <alignment horizontal="center" vertical="center"/>
    </xf>
    <xf numFmtId="164" fontId="14" fillId="17" borderId="1" xfId="1" applyFont="1" applyFill="1" applyBorder="1" applyAlignment="1">
      <alignment horizontal="center" vertical="center"/>
    </xf>
    <xf numFmtId="41" fontId="14" fillId="17" borderId="1" xfId="5" applyFont="1" applyFill="1" applyBorder="1" applyAlignment="1">
      <alignment vertical="center"/>
    </xf>
    <xf numFmtId="44" fontId="12" fillId="17" borderId="1" xfId="8" applyFont="1" applyFill="1" applyBorder="1" applyAlignment="1">
      <alignment vertical="center"/>
    </xf>
    <xf numFmtId="44" fontId="12" fillId="17" borderId="1" xfId="0" applyNumberFormat="1" applyFont="1" applyFill="1" applyBorder="1" applyAlignment="1">
      <alignment vertical="center"/>
    </xf>
    <xf numFmtId="164" fontId="13" fillId="19" borderId="1" xfId="1" applyFont="1" applyFill="1" applyBorder="1" applyAlignment="1">
      <alignment vertical="center" wrapText="1"/>
    </xf>
    <xf numFmtId="164" fontId="13" fillId="6" borderId="7" xfId="1" applyFont="1" applyFill="1" applyBorder="1" applyAlignment="1">
      <alignment vertical="center" wrapText="1"/>
    </xf>
    <xf numFmtId="0" fontId="12" fillId="8" borderId="0" xfId="0" applyFont="1" applyFill="1" applyAlignment="1">
      <alignment vertical="center"/>
    </xf>
    <xf numFmtId="0" fontId="13" fillId="8" borderId="0" xfId="0" applyFont="1" applyFill="1" applyAlignment="1">
      <alignment vertical="center"/>
    </xf>
    <xf numFmtId="164" fontId="12" fillId="8" borderId="0" xfId="0" applyNumberFormat="1" applyFont="1" applyFill="1" applyAlignment="1">
      <alignment vertical="center"/>
    </xf>
    <xf numFmtId="0" fontId="14" fillId="8" borderId="0" xfId="0" applyFont="1" applyFill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173" fontId="0" fillId="0" borderId="0" xfId="9" applyNumberFormat="1" applyFont="1" applyBorder="1"/>
    <xf numFmtId="173" fontId="18" fillId="0" borderId="0" xfId="0" applyNumberFormat="1" applyFont="1"/>
    <xf numFmtId="10" fontId="18" fillId="0" borderId="0" xfId="2" applyNumberFormat="1" applyFont="1" applyBorder="1"/>
    <xf numFmtId="164" fontId="12" fillId="0" borderId="1" xfId="1" applyFont="1" applyBorder="1" applyAlignment="1" applyProtection="1">
      <alignment horizontal="center" vertical="center" wrapText="1"/>
      <protection hidden="1"/>
    </xf>
    <xf numFmtId="166" fontId="13" fillId="15" borderId="1" xfId="0" applyNumberFormat="1" applyFont="1" applyFill="1" applyBorder="1" applyAlignment="1">
      <alignment horizontal="left" vertical="center" wrapText="1"/>
    </xf>
    <xf numFmtId="164" fontId="13" fillId="15" borderId="1" xfId="1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164" fontId="13" fillId="4" borderId="1" xfId="1" applyFont="1" applyFill="1" applyBorder="1" applyAlignment="1">
      <alignment horizontal="left" vertical="center" wrapText="1"/>
    </xf>
    <xf numFmtId="0" fontId="12" fillId="9" borderId="1" xfId="0" applyFont="1" applyFill="1" applyBorder="1" applyAlignment="1">
      <alignment horizontal="center" vertical="center"/>
    </xf>
    <xf numFmtId="0" fontId="12" fillId="18" borderId="1" xfId="0" applyFont="1" applyFill="1" applyBorder="1" applyAlignment="1">
      <alignment horizontal="center" vertical="center"/>
    </xf>
    <xf numFmtId="166" fontId="13" fillId="2" borderId="1" xfId="0" applyNumberFormat="1" applyFont="1" applyFill="1" applyBorder="1" applyAlignment="1">
      <alignment horizontal="center" vertical="center" wrapText="1"/>
    </xf>
    <xf numFmtId="0" fontId="15" fillId="17" borderId="1" xfId="0" applyFont="1" applyFill="1" applyBorder="1" applyAlignment="1">
      <alignment horizontal="right" vertical="center" wrapText="1"/>
    </xf>
    <xf numFmtId="0" fontId="15" fillId="5" borderId="0" xfId="0" applyFont="1" applyFill="1" applyAlignment="1">
      <alignment horizontal="right" vertical="center" wrapText="1"/>
    </xf>
    <xf numFmtId="0" fontId="15" fillId="17" borderId="0" xfId="0" applyFont="1" applyFill="1" applyAlignment="1">
      <alignment horizontal="right" vertical="center" wrapText="1"/>
    </xf>
    <xf numFmtId="164" fontId="12" fillId="0" borderId="1" xfId="1" applyFont="1" applyBorder="1" applyAlignment="1">
      <alignment horizontal="center" vertical="center" wrapText="1"/>
    </xf>
    <xf numFmtId="0" fontId="6" fillId="16" borderId="12" xfId="0" applyFont="1" applyFill="1" applyBorder="1" applyAlignment="1">
      <alignment horizontal="center" vertical="center" wrapText="1"/>
    </xf>
    <xf numFmtId="0" fontId="6" fillId="16" borderId="13" xfId="0" applyFont="1" applyFill="1" applyBorder="1" applyAlignment="1">
      <alignment horizontal="center" vertical="center" wrapText="1"/>
    </xf>
    <xf numFmtId="0" fontId="6" fillId="16" borderId="1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0" fillId="1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15" borderId="0" xfId="0" applyFill="1" applyAlignment="1">
      <alignment horizontal="center"/>
    </xf>
    <xf numFmtId="0" fontId="0" fillId="9" borderId="0" xfId="0" applyFill="1" applyAlignment="1">
      <alignment horizontal="center" vertical="center"/>
    </xf>
    <xf numFmtId="0" fontId="0" fillId="6" borderId="0" xfId="0" applyFill="1" applyAlignment="1">
      <alignment horizontal="center"/>
    </xf>
  </cellXfs>
  <cellStyles count="10">
    <cellStyle name="Entrada 3 6" xfId="7" xr:uid="{B7ED8CCA-956B-4F4C-AE52-A8D204DBCCC2}"/>
    <cellStyle name="Millares" xfId="9" builtinId="3"/>
    <cellStyle name="Millares [0]" xfId="5" builtinId="6"/>
    <cellStyle name="Millares 2" xfId="6" xr:uid="{9FBC9E75-B23E-4194-895C-8FC79A91F697}"/>
    <cellStyle name="Moneda" xfId="8" builtinId="4"/>
    <cellStyle name="Moneda [0]" xfId="1" builtinId="7"/>
    <cellStyle name="Normal" xfId="0" builtinId="0"/>
    <cellStyle name="Normal 2 2" xfId="3" xr:uid="{00000000-0005-0000-0000-000003000000}"/>
    <cellStyle name="Normal 4" xfId="4" xr:uid="{00000000-0005-0000-0000-000004000000}"/>
    <cellStyle name="Porcentaje" xfId="2" builtinId="5"/>
  </cellStyles>
  <dxfs count="0"/>
  <tableStyles count="0" defaultTableStyle="TableStyleMedium2" defaultPivotStyle="PivotStyleLight16"/>
  <colors>
    <mruColors>
      <color rgb="FF008080"/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94999</xdr:colOff>
      <xdr:row>0</xdr:row>
      <xdr:rowOff>122891</xdr:rowOff>
    </xdr:from>
    <xdr:to>
      <xdr:col>29</xdr:col>
      <xdr:colOff>1486522</xdr:colOff>
      <xdr:row>0</xdr:row>
      <xdr:rowOff>1022475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E44501E-CD35-7501-D943-796FF8E55D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680" b="23673"/>
        <a:stretch/>
      </xdr:blipFill>
      <xdr:spPr>
        <a:xfrm>
          <a:off x="19134416" y="122891"/>
          <a:ext cx="1391523" cy="8995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45B90-4673-497C-B09B-DDF6C941B893}">
  <sheetPr codeName="Hoja1">
    <pageSetUpPr fitToPage="1"/>
  </sheetPr>
  <dimension ref="A1:II602"/>
  <sheetViews>
    <sheetView tabSelected="1" topLeftCell="A521" zoomScale="84" zoomScaleNormal="100" zoomScaleSheetLayoutView="70" workbookViewId="0">
      <selection activeCell="C601" sqref="C601"/>
    </sheetView>
  </sheetViews>
  <sheetFormatPr baseColWidth="10" defaultColWidth="11" defaultRowHeight="14" x14ac:dyDescent="0.2"/>
  <cols>
    <col min="1" max="1" width="11" style="34"/>
    <col min="2" max="2" width="18.1640625" style="40" customWidth="1"/>
    <col min="3" max="3" width="55.33203125" style="39" customWidth="1"/>
    <col min="4" max="4" width="6.5" style="40" customWidth="1"/>
    <col min="5" max="5" width="19.5" style="34" customWidth="1"/>
    <col min="6" max="6" width="17.83203125" style="34" customWidth="1"/>
    <col min="7" max="7" width="17.33203125" style="34" bestFit="1" customWidth="1"/>
    <col min="8" max="8" width="12.1640625" style="35" hidden="1" customWidth="1"/>
    <col min="9" max="9" width="15.5" style="35" hidden="1" customWidth="1"/>
    <col min="10" max="11" width="19.1640625" style="36" hidden="1" customWidth="1"/>
    <col min="12" max="12" width="13.1640625" style="34" hidden="1" customWidth="1"/>
    <col min="13" max="13" width="16.1640625" style="34" hidden="1" customWidth="1"/>
    <col min="14" max="17" width="11" style="34" hidden="1" customWidth="1"/>
    <col min="18" max="18" width="15.1640625" style="37" hidden="1" customWidth="1"/>
    <col min="19" max="19" width="12.83203125" style="34" hidden="1" customWidth="1"/>
    <col min="20" max="20" width="15.6640625" style="37" hidden="1" customWidth="1"/>
    <col min="21" max="22" width="17.83203125" style="34" hidden="1" customWidth="1"/>
    <col min="23" max="23" width="12.5" style="34" hidden="1" customWidth="1"/>
    <col min="24" max="24" width="33.83203125" style="34" bestFit="1" customWidth="1"/>
    <col min="25" max="25" width="14" style="34" bestFit="1" customWidth="1"/>
    <col min="26" max="26" width="14.83203125" style="34" bestFit="1" customWidth="1"/>
    <col min="27" max="27" width="13.6640625" style="34" bestFit="1" customWidth="1"/>
    <col min="28" max="28" width="14.6640625" style="34" bestFit="1" customWidth="1"/>
    <col min="29" max="29" width="12.33203125" style="34" bestFit="1" customWidth="1"/>
    <col min="30" max="30" width="21.6640625" style="34" bestFit="1" customWidth="1"/>
    <col min="31" max="243" width="11" style="197"/>
    <col min="244" max="16384" width="11" style="34"/>
  </cols>
  <sheetData>
    <row r="1" spans="1:243" ht="99" customHeight="1" x14ac:dyDescent="0.2">
      <c r="A1" s="55"/>
      <c r="B1" s="56"/>
      <c r="C1" s="221" t="s">
        <v>1244</v>
      </c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57"/>
    </row>
    <row r="2" spans="1:243" ht="30" customHeight="1" x14ac:dyDescent="0.2">
      <c r="A2" s="218" t="s">
        <v>125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20"/>
    </row>
    <row r="3" spans="1:243" ht="8" customHeight="1" x14ac:dyDescent="0.2">
      <c r="A3" s="58"/>
      <c r="B3" s="44"/>
      <c r="C3" s="44"/>
      <c r="D3" s="44"/>
      <c r="E3" s="44"/>
      <c r="F3" s="44"/>
      <c r="G3" s="44"/>
      <c r="H3" s="59"/>
      <c r="I3" s="59"/>
      <c r="J3" s="60"/>
      <c r="K3" s="60"/>
      <c r="R3" s="61"/>
      <c r="T3" s="61"/>
      <c r="AD3" s="62"/>
    </row>
    <row r="4" spans="1:243" ht="30" customHeight="1" x14ac:dyDescent="0.2">
      <c r="A4" s="63" t="s">
        <v>1243</v>
      </c>
      <c r="B4" s="53" t="s">
        <v>96</v>
      </c>
      <c r="C4" s="53" t="s">
        <v>106</v>
      </c>
      <c r="D4" s="53" t="s">
        <v>5</v>
      </c>
      <c r="E4" s="53" t="s">
        <v>107</v>
      </c>
      <c r="F4" s="53" t="s">
        <v>108</v>
      </c>
      <c r="G4" s="53" t="s">
        <v>1240</v>
      </c>
      <c r="H4" s="59"/>
      <c r="I4" s="59"/>
      <c r="J4" s="60"/>
      <c r="K4" s="60"/>
      <c r="R4" s="61"/>
      <c r="T4" s="61"/>
      <c r="X4" s="53" t="s">
        <v>107</v>
      </c>
      <c r="Y4" s="53" t="s">
        <v>108</v>
      </c>
      <c r="Z4" s="53" t="s">
        <v>1241</v>
      </c>
      <c r="AA4" s="53" t="s">
        <v>107</v>
      </c>
      <c r="AB4" s="53" t="s">
        <v>108</v>
      </c>
      <c r="AC4" s="53" t="s">
        <v>1242</v>
      </c>
      <c r="AD4" s="64" t="s">
        <v>1239</v>
      </c>
    </row>
    <row r="5" spans="1:243" ht="13" customHeight="1" x14ac:dyDescent="0.2">
      <c r="A5" s="58"/>
      <c r="B5" s="44"/>
      <c r="C5" s="44"/>
      <c r="D5" s="44"/>
      <c r="E5" s="222">
        <v>2025</v>
      </c>
      <c r="F5" s="222"/>
      <c r="G5" s="222"/>
      <c r="H5" s="59"/>
      <c r="I5" s="59"/>
      <c r="J5" s="60"/>
      <c r="K5" s="60"/>
      <c r="R5" s="61"/>
      <c r="T5" s="61"/>
      <c r="X5" s="211">
        <v>2026</v>
      </c>
      <c r="Y5" s="211"/>
      <c r="Z5" s="211"/>
      <c r="AA5" s="212">
        <v>2027</v>
      </c>
      <c r="AB5" s="212"/>
      <c r="AC5" s="212"/>
      <c r="AD5" s="62"/>
    </row>
    <row r="6" spans="1:243" s="38" customFormat="1" ht="30" customHeight="1" x14ac:dyDescent="0.2">
      <c r="A6" s="85"/>
      <c r="B6" s="86">
        <v>1</v>
      </c>
      <c r="C6" s="209" t="s">
        <v>0</v>
      </c>
      <c r="D6" s="209"/>
      <c r="E6" s="209"/>
      <c r="F6" s="209"/>
      <c r="G6" s="87"/>
      <c r="H6" s="88"/>
      <c r="I6" s="88"/>
      <c r="J6" s="89"/>
      <c r="K6" s="89"/>
      <c r="L6" s="85"/>
      <c r="M6" s="85"/>
      <c r="N6" s="85"/>
      <c r="O6" s="85"/>
      <c r="P6" s="85"/>
      <c r="Q6" s="85"/>
      <c r="R6" s="90"/>
      <c r="S6" s="85"/>
      <c r="T6" s="90"/>
      <c r="U6" s="85"/>
      <c r="V6" s="85"/>
      <c r="W6" s="85"/>
      <c r="X6" s="87"/>
      <c r="Y6" s="87"/>
      <c r="Z6" s="87"/>
      <c r="AA6" s="87"/>
      <c r="AB6" s="87"/>
      <c r="AC6" s="87"/>
      <c r="AD6" s="87"/>
      <c r="AE6" s="198"/>
      <c r="AF6" s="198"/>
      <c r="AG6" s="198"/>
      <c r="AH6" s="198"/>
      <c r="AI6" s="198"/>
      <c r="AJ6" s="198"/>
      <c r="AK6" s="198"/>
      <c r="AL6" s="198"/>
      <c r="AM6" s="198"/>
      <c r="AN6" s="198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  <c r="BM6" s="198"/>
      <c r="BN6" s="198"/>
      <c r="BO6" s="198"/>
      <c r="BP6" s="198"/>
      <c r="BQ6" s="198"/>
      <c r="BR6" s="198"/>
      <c r="BS6" s="198"/>
      <c r="BT6" s="198"/>
      <c r="BU6" s="198"/>
      <c r="BV6" s="198"/>
      <c r="BW6" s="198"/>
      <c r="BX6" s="198"/>
      <c r="BY6" s="198"/>
      <c r="BZ6" s="198"/>
      <c r="CA6" s="198"/>
      <c r="CB6" s="198"/>
      <c r="CC6" s="198"/>
      <c r="CD6" s="198"/>
      <c r="CE6" s="198"/>
      <c r="CF6" s="198"/>
      <c r="CG6" s="198"/>
      <c r="CH6" s="198"/>
      <c r="CI6" s="198"/>
      <c r="CJ6" s="198"/>
      <c r="CK6" s="198"/>
      <c r="CL6" s="198"/>
      <c r="CM6" s="198"/>
      <c r="CN6" s="198"/>
      <c r="CO6" s="198"/>
      <c r="CP6" s="198"/>
      <c r="CQ6" s="198"/>
      <c r="CR6" s="198"/>
      <c r="CS6" s="198"/>
      <c r="CT6" s="198"/>
      <c r="CU6" s="198"/>
      <c r="CV6" s="198"/>
      <c r="CW6" s="198"/>
      <c r="CX6" s="198"/>
      <c r="CY6" s="198"/>
      <c r="CZ6" s="198"/>
      <c r="DA6" s="198"/>
      <c r="DB6" s="198"/>
      <c r="DC6" s="198"/>
      <c r="DD6" s="198"/>
      <c r="DE6" s="198"/>
      <c r="DF6" s="198"/>
      <c r="DG6" s="198"/>
      <c r="DH6" s="198"/>
      <c r="DI6" s="198"/>
      <c r="DJ6" s="198"/>
      <c r="DK6" s="198"/>
      <c r="DL6" s="198"/>
      <c r="DM6" s="198"/>
      <c r="DN6" s="198"/>
      <c r="DO6" s="198"/>
      <c r="DP6" s="198"/>
      <c r="DQ6" s="198"/>
      <c r="DR6" s="198"/>
      <c r="DS6" s="198"/>
      <c r="DT6" s="198"/>
      <c r="DU6" s="198"/>
      <c r="DV6" s="198"/>
      <c r="DW6" s="198"/>
      <c r="DX6" s="198"/>
      <c r="DY6" s="198"/>
      <c r="DZ6" s="198"/>
      <c r="EA6" s="198"/>
      <c r="EB6" s="198"/>
      <c r="EC6" s="198"/>
      <c r="ED6" s="198"/>
      <c r="EE6" s="198"/>
      <c r="EF6" s="198"/>
      <c r="EG6" s="198"/>
      <c r="EH6" s="198"/>
      <c r="EI6" s="198"/>
      <c r="EJ6" s="198"/>
      <c r="EK6" s="198"/>
      <c r="EL6" s="198"/>
      <c r="EM6" s="198"/>
      <c r="EN6" s="198"/>
      <c r="EO6" s="198"/>
      <c r="EP6" s="198"/>
      <c r="EQ6" s="198"/>
      <c r="ER6" s="198"/>
      <c r="ES6" s="198"/>
      <c r="ET6" s="198"/>
      <c r="EU6" s="198"/>
      <c r="EV6" s="198"/>
      <c r="EW6" s="198"/>
      <c r="EX6" s="198"/>
      <c r="EY6" s="198"/>
      <c r="EZ6" s="198"/>
      <c r="FA6" s="198"/>
      <c r="FB6" s="198"/>
      <c r="FC6" s="198"/>
      <c r="FD6" s="198"/>
      <c r="FE6" s="198"/>
      <c r="FF6" s="198"/>
      <c r="FG6" s="198"/>
      <c r="FH6" s="198"/>
      <c r="FI6" s="198"/>
      <c r="FJ6" s="198"/>
      <c r="FK6" s="198"/>
      <c r="FL6" s="198"/>
      <c r="FM6" s="198"/>
      <c r="FN6" s="198"/>
      <c r="FO6" s="198"/>
      <c r="FP6" s="198"/>
      <c r="FQ6" s="198"/>
      <c r="FR6" s="198"/>
      <c r="FS6" s="198"/>
      <c r="FT6" s="198"/>
      <c r="FU6" s="198"/>
      <c r="FV6" s="198"/>
      <c r="FW6" s="198"/>
      <c r="FX6" s="198"/>
      <c r="FY6" s="198"/>
      <c r="FZ6" s="198"/>
      <c r="GA6" s="198"/>
      <c r="GB6" s="198"/>
      <c r="GC6" s="198"/>
      <c r="GD6" s="198"/>
      <c r="GE6" s="198"/>
      <c r="GF6" s="198"/>
      <c r="GG6" s="198"/>
      <c r="GH6" s="198"/>
      <c r="GI6" s="198"/>
      <c r="GJ6" s="198"/>
      <c r="GK6" s="198"/>
      <c r="GL6" s="198"/>
      <c r="GM6" s="198"/>
      <c r="GN6" s="198"/>
      <c r="GO6" s="198"/>
      <c r="GP6" s="198"/>
      <c r="GQ6" s="198"/>
      <c r="GR6" s="198"/>
      <c r="GS6" s="198"/>
      <c r="GT6" s="198"/>
      <c r="GU6" s="198"/>
      <c r="GV6" s="198"/>
      <c r="GW6" s="198"/>
      <c r="GX6" s="198"/>
      <c r="GY6" s="198"/>
      <c r="GZ6" s="198"/>
      <c r="HA6" s="198"/>
      <c r="HB6" s="198"/>
      <c r="HC6" s="198"/>
      <c r="HD6" s="198"/>
      <c r="HE6" s="198"/>
      <c r="HF6" s="198"/>
      <c r="HG6" s="198"/>
      <c r="HH6" s="198"/>
      <c r="HI6" s="198"/>
      <c r="HJ6" s="198"/>
      <c r="HK6" s="198"/>
      <c r="HL6" s="198"/>
      <c r="HM6" s="198"/>
      <c r="HN6" s="198"/>
      <c r="HO6" s="198"/>
      <c r="HP6" s="198"/>
      <c r="HQ6" s="198"/>
      <c r="HR6" s="198"/>
      <c r="HS6" s="198"/>
      <c r="HT6" s="198"/>
      <c r="HU6" s="198"/>
      <c r="HV6" s="198"/>
      <c r="HW6" s="198"/>
      <c r="HX6" s="198"/>
      <c r="HY6" s="198"/>
      <c r="HZ6" s="198"/>
      <c r="IA6" s="198"/>
      <c r="IB6" s="198"/>
      <c r="IC6" s="198"/>
      <c r="ID6" s="198"/>
      <c r="IE6" s="198"/>
      <c r="IF6" s="198"/>
      <c r="IG6" s="198"/>
      <c r="IH6" s="198"/>
      <c r="II6" s="198"/>
    </row>
    <row r="7" spans="1:243" ht="18" customHeight="1" x14ac:dyDescent="0.2">
      <c r="A7" s="91"/>
      <c r="B7" s="92" t="s">
        <v>1</v>
      </c>
      <c r="C7" s="93" t="s">
        <v>2</v>
      </c>
      <c r="D7" s="92"/>
      <c r="E7" s="93"/>
      <c r="F7" s="94"/>
      <c r="G7" s="94">
        <f>SUM(G8:G16)</f>
        <v>16472131</v>
      </c>
      <c r="H7" s="95"/>
      <c r="I7" s="95"/>
      <c r="J7" s="96"/>
      <c r="K7" s="96"/>
      <c r="L7" s="91"/>
      <c r="M7" s="91"/>
      <c r="N7" s="91"/>
      <c r="O7" s="91"/>
      <c r="P7" s="91"/>
      <c r="Q7" s="91"/>
      <c r="R7" s="97">
        <f t="shared" ref="R7:R68" si="0">(G7*0.3)+G7+(G7*0.05)</f>
        <v>22237376.850000001</v>
      </c>
      <c r="S7" s="98">
        <v>20753633.700000003</v>
      </c>
      <c r="T7" s="97"/>
      <c r="U7" s="99">
        <v>0.315</v>
      </c>
      <c r="V7" s="91"/>
      <c r="W7" s="100"/>
      <c r="X7" s="94"/>
      <c r="Y7" s="94"/>
      <c r="Z7" s="94"/>
      <c r="AA7" s="94"/>
      <c r="AB7" s="94"/>
      <c r="AC7" s="94"/>
      <c r="AD7" s="94">
        <f>G7+Z7+AC7</f>
        <v>16472131</v>
      </c>
    </row>
    <row r="8" spans="1:243" ht="15" x14ac:dyDescent="0.2">
      <c r="A8" s="91">
        <v>100114</v>
      </c>
      <c r="B8" s="101" t="s">
        <v>3</v>
      </c>
      <c r="C8" s="102" t="s">
        <v>4</v>
      </c>
      <c r="D8" s="103" t="s">
        <v>5</v>
      </c>
      <c r="E8" s="104">
        <v>1</v>
      </c>
      <c r="F8" s="105">
        <v>184180</v>
      </c>
      <c r="G8" s="106">
        <f>ROUND(E8*F8,0)</f>
        <v>184180</v>
      </c>
      <c r="H8" s="95"/>
      <c r="I8" s="95"/>
      <c r="J8" s="96"/>
      <c r="K8" s="96"/>
      <c r="L8" s="91"/>
      <c r="M8" s="91"/>
      <c r="N8" s="91"/>
      <c r="O8" s="91"/>
      <c r="P8" s="91"/>
      <c r="Q8" s="91"/>
      <c r="R8" s="97">
        <f t="shared" si="0"/>
        <v>248643</v>
      </c>
      <c r="S8" s="98">
        <v>183483.90000000002</v>
      </c>
      <c r="T8" s="97"/>
      <c r="U8" s="100">
        <f>+G8*$U$7</f>
        <v>58016.7</v>
      </c>
      <c r="V8" s="107">
        <f>+G8+U8</f>
        <v>242196.7</v>
      </c>
      <c r="W8" s="91"/>
      <c r="X8" s="106"/>
      <c r="Y8" s="106"/>
      <c r="Z8" s="106"/>
      <c r="AA8" s="106"/>
      <c r="AB8" s="106"/>
      <c r="AC8" s="106"/>
      <c r="AD8" s="108">
        <f t="shared" ref="AD8:AD17" si="1">G8+Z8+AC8</f>
        <v>184180</v>
      </c>
    </row>
    <row r="9" spans="1:243" ht="15" x14ac:dyDescent="0.2">
      <c r="A9" s="91">
        <v>100121</v>
      </c>
      <c r="B9" s="101" t="s">
        <v>6</v>
      </c>
      <c r="C9" s="102" t="s">
        <v>7</v>
      </c>
      <c r="D9" s="103" t="s">
        <v>8</v>
      </c>
      <c r="E9" s="104">
        <f>13.15*2.5</f>
        <v>32.875</v>
      </c>
      <c r="F9" s="105">
        <v>39666</v>
      </c>
      <c r="G9" s="106">
        <f t="shared" ref="G9:G16" si="2">ROUND(E9*F9,0)</f>
        <v>1304020</v>
      </c>
      <c r="H9" s="95"/>
      <c r="I9" s="95"/>
      <c r="J9" s="96"/>
      <c r="K9" s="96"/>
      <c r="L9" s="91"/>
      <c r="M9" s="91"/>
      <c r="N9" s="91"/>
      <c r="O9" s="91"/>
      <c r="P9" s="91"/>
      <c r="Q9" s="91"/>
      <c r="R9" s="97">
        <f t="shared" si="0"/>
        <v>1760427</v>
      </c>
      <c r="S9" s="98">
        <v>1303800.2999999998</v>
      </c>
      <c r="T9" s="97"/>
      <c r="U9" s="100">
        <f t="shared" ref="U9:U72" si="3">+G9*$U$7</f>
        <v>410766.3</v>
      </c>
      <c r="V9" s="107">
        <f t="shared" ref="V9:V72" si="4">+G9+U9</f>
        <v>1714786.3</v>
      </c>
      <c r="W9" s="91"/>
      <c r="X9" s="106"/>
      <c r="Y9" s="106"/>
      <c r="Z9" s="106"/>
      <c r="AA9" s="106"/>
      <c r="AB9" s="106"/>
      <c r="AC9" s="106"/>
      <c r="AD9" s="108">
        <f t="shared" si="1"/>
        <v>1304020</v>
      </c>
    </row>
    <row r="10" spans="1:243" ht="15" x14ac:dyDescent="0.2">
      <c r="A10" s="91">
        <v>100119</v>
      </c>
      <c r="B10" s="101" t="s">
        <v>9</v>
      </c>
      <c r="C10" s="102" t="s">
        <v>10</v>
      </c>
      <c r="D10" s="103" t="s">
        <v>11</v>
      </c>
      <c r="E10" s="104">
        <v>121.71</v>
      </c>
      <c r="F10" s="105">
        <v>11296</v>
      </c>
      <c r="G10" s="106">
        <f t="shared" si="2"/>
        <v>1374836</v>
      </c>
      <c r="H10" s="95"/>
      <c r="I10" s="95"/>
      <c r="J10" s="96"/>
      <c r="K10" s="96"/>
      <c r="L10" s="91"/>
      <c r="M10" s="91"/>
      <c r="N10" s="91"/>
      <c r="O10" s="91"/>
      <c r="P10" s="91"/>
      <c r="Q10" s="91"/>
      <c r="R10" s="97">
        <f t="shared" si="0"/>
        <v>1856028.6</v>
      </c>
      <c r="S10" s="98">
        <v>1905124.0499999998</v>
      </c>
      <c r="T10" s="97"/>
      <c r="U10" s="100">
        <f t="shared" si="3"/>
        <v>433073.34</v>
      </c>
      <c r="V10" s="107">
        <f t="shared" si="4"/>
        <v>1807909.34</v>
      </c>
      <c r="W10" s="91"/>
      <c r="X10" s="106"/>
      <c r="Y10" s="106"/>
      <c r="Z10" s="106"/>
      <c r="AA10" s="106"/>
      <c r="AB10" s="106"/>
      <c r="AC10" s="106"/>
      <c r="AD10" s="108">
        <f t="shared" si="1"/>
        <v>1374836</v>
      </c>
    </row>
    <row r="11" spans="1:243" ht="15" x14ac:dyDescent="0.2">
      <c r="A11" s="91">
        <v>100113</v>
      </c>
      <c r="B11" s="101" t="s">
        <v>12</v>
      </c>
      <c r="C11" s="102" t="s">
        <v>13</v>
      </c>
      <c r="D11" s="103" t="s">
        <v>8</v>
      </c>
      <c r="E11" s="104">
        <v>603.67999999999995</v>
      </c>
      <c r="F11" s="105">
        <v>5392</v>
      </c>
      <c r="G11" s="106">
        <f t="shared" si="2"/>
        <v>3255043</v>
      </c>
      <c r="H11" s="95"/>
      <c r="I11" s="95"/>
      <c r="J11" s="96"/>
      <c r="K11" s="96"/>
      <c r="L11" s="91"/>
      <c r="M11" s="91"/>
      <c r="N11" s="91"/>
      <c r="O11" s="91"/>
      <c r="P11" s="91"/>
      <c r="Q11" s="91"/>
      <c r="R11" s="97">
        <f t="shared" si="0"/>
        <v>4394308.0500000007</v>
      </c>
      <c r="S11" s="98">
        <v>3669129.9000000004</v>
      </c>
      <c r="T11" s="97"/>
      <c r="U11" s="100">
        <f t="shared" si="3"/>
        <v>1025338.545</v>
      </c>
      <c r="V11" s="107">
        <f t="shared" si="4"/>
        <v>4280381.5449999999</v>
      </c>
      <c r="W11" s="91"/>
      <c r="X11" s="106"/>
      <c r="Y11" s="106"/>
      <c r="Z11" s="106"/>
      <c r="AA11" s="106"/>
      <c r="AB11" s="106"/>
      <c r="AC11" s="106"/>
      <c r="AD11" s="108">
        <f t="shared" si="1"/>
        <v>3255043</v>
      </c>
    </row>
    <row r="12" spans="1:243" ht="15" x14ac:dyDescent="0.2">
      <c r="A12" s="91">
        <v>100103</v>
      </c>
      <c r="B12" s="101" t="s">
        <v>14</v>
      </c>
      <c r="C12" s="102" t="s">
        <v>162</v>
      </c>
      <c r="D12" s="103" t="s">
        <v>5</v>
      </c>
      <c r="E12" s="109">
        <v>1</v>
      </c>
      <c r="F12" s="105">
        <v>3182418</v>
      </c>
      <c r="G12" s="106">
        <f t="shared" si="2"/>
        <v>3182418</v>
      </c>
      <c r="H12" s="95"/>
      <c r="I12" s="95"/>
      <c r="J12" s="96"/>
      <c r="K12" s="96"/>
      <c r="L12" s="91"/>
      <c r="M12" s="91"/>
      <c r="N12" s="91"/>
      <c r="O12" s="91"/>
      <c r="P12" s="91"/>
      <c r="Q12" s="91"/>
      <c r="R12" s="97">
        <f t="shared" si="0"/>
        <v>4296264.3</v>
      </c>
      <c r="S12" s="98">
        <v>3581065.3499999996</v>
      </c>
      <c r="T12" s="97"/>
      <c r="U12" s="100">
        <f t="shared" si="3"/>
        <v>1002461.67</v>
      </c>
      <c r="V12" s="107">
        <f t="shared" si="4"/>
        <v>4184879.67</v>
      </c>
      <c r="W12" s="91"/>
      <c r="X12" s="106"/>
      <c r="Y12" s="106"/>
      <c r="Z12" s="106"/>
      <c r="AA12" s="106"/>
      <c r="AB12" s="106"/>
      <c r="AC12" s="106"/>
      <c r="AD12" s="108">
        <f t="shared" si="1"/>
        <v>3182418</v>
      </c>
    </row>
    <row r="13" spans="1:243" ht="15" x14ac:dyDescent="0.2">
      <c r="A13" s="91">
        <v>100108</v>
      </c>
      <c r="B13" s="101" t="s">
        <v>167</v>
      </c>
      <c r="C13" s="102" t="s">
        <v>163</v>
      </c>
      <c r="D13" s="103" t="s">
        <v>8</v>
      </c>
      <c r="E13" s="109">
        <v>603.66800000000001</v>
      </c>
      <c r="F13" s="105">
        <v>4925</v>
      </c>
      <c r="G13" s="106">
        <f t="shared" si="2"/>
        <v>2973065</v>
      </c>
      <c r="H13" s="95"/>
      <c r="I13" s="95"/>
      <c r="J13" s="96"/>
      <c r="K13" s="96"/>
      <c r="L13" s="91"/>
      <c r="M13" s="91"/>
      <c r="N13" s="91"/>
      <c r="O13" s="91"/>
      <c r="P13" s="91"/>
      <c r="Q13" s="91"/>
      <c r="R13" s="97">
        <f t="shared" si="0"/>
        <v>4013637.75</v>
      </c>
      <c r="S13" s="98">
        <v>3881088</v>
      </c>
      <c r="T13" s="97"/>
      <c r="U13" s="100">
        <f t="shared" si="3"/>
        <v>936515.47499999998</v>
      </c>
      <c r="V13" s="107">
        <f t="shared" si="4"/>
        <v>3909580.4750000001</v>
      </c>
      <c r="W13" s="91"/>
      <c r="X13" s="106"/>
      <c r="Y13" s="106"/>
      <c r="Z13" s="106"/>
      <c r="AA13" s="106"/>
      <c r="AB13" s="106"/>
      <c r="AC13" s="106"/>
      <c r="AD13" s="108">
        <f t="shared" si="1"/>
        <v>2973065</v>
      </c>
    </row>
    <row r="14" spans="1:243" ht="15" x14ac:dyDescent="0.2">
      <c r="A14" s="91">
        <v>100122</v>
      </c>
      <c r="B14" s="101" t="s">
        <v>168</v>
      </c>
      <c r="C14" s="102" t="s">
        <v>164</v>
      </c>
      <c r="D14" s="103" t="s">
        <v>11</v>
      </c>
      <c r="E14" s="109">
        <v>121.71</v>
      </c>
      <c r="F14" s="105">
        <v>7058</v>
      </c>
      <c r="G14" s="106">
        <f t="shared" si="2"/>
        <v>859029</v>
      </c>
      <c r="H14" s="95"/>
      <c r="I14" s="95"/>
      <c r="J14" s="96"/>
      <c r="K14" s="96"/>
      <c r="L14" s="91"/>
      <c r="M14" s="91"/>
      <c r="N14" s="91"/>
      <c r="O14" s="91"/>
      <c r="P14" s="91"/>
      <c r="Q14" s="91"/>
      <c r="R14" s="97">
        <f t="shared" si="0"/>
        <v>1159689.1499999999</v>
      </c>
      <c r="S14" s="98">
        <v>1130063.3999999999</v>
      </c>
      <c r="T14" s="97"/>
      <c r="U14" s="100">
        <f t="shared" si="3"/>
        <v>270594.13500000001</v>
      </c>
      <c r="V14" s="107">
        <f t="shared" si="4"/>
        <v>1129623.135</v>
      </c>
      <c r="W14" s="91"/>
      <c r="X14" s="106"/>
      <c r="Y14" s="106"/>
      <c r="Z14" s="106"/>
      <c r="AA14" s="106"/>
      <c r="AB14" s="106"/>
      <c r="AC14" s="106"/>
      <c r="AD14" s="108">
        <f t="shared" si="1"/>
        <v>859029</v>
      </c>
    </row>
    <row r="15" spans="1:243" ht="15" x14ac:dyDescent="0.2">
      <c r="A15" s="91"/>
      <c r="B15" s="101" t="s">
        <v>169</v>
      </c>
      <c r="C15" s="102" t="s">
        <v>165</v>
      </c>
      <c r="D15" s="103" t="s">
        <v>5</v>
      </c>
      <c r="E15" s="109">
        <v>6</v>
      </c>
      <c r="F15" s="105">
        <v>106590</v>
      </c>
      <c r="G15" s="106">
        <f t="shared" si="2"/>
        <v>639540</v>
      </c>
      <c r="H15" s="95"/>
      <c r="I15" s="95"/>
      <c r="J15" s="96"/>
      <c r="K15" s="96"/>
      <c r="L15" s="91"/>
      <c r="M15" s="91"/>
      <c r="N15" s="91"/>
      <c r="O15" s="91"/>
      <c r="P15" s="91"/>
      <c r="Q15" s="91"/>
      <c r="R15" s="97">
        <f t="shared" si="0"/>
        <v>863379</v>
      </c>
      <c r="S15" s="98">
        <v>976654.8</v>
      </c>
      <c r="T15" s="97"/>
      <c r="U15" s="100">
        <f t="shared" si="3"/>
        <v>201455.1</v>
      </c>
      <c r="V15" s="107">
        <f t="shared" si="4"/>
        <v>840995.1</v>
      </c>
      <c r="W15" s="91"/>
      <c r="X15" s="106"/>
      <c r="Y15" s="106"/>
      <c r="Z15" s="106"/>
      <c r="AA15" s="106"/>
      <c r="AB15" s="106"/>
      <c r="AC15" s="106"/>
      <c r="AD15" s="108">
        <f t="shared" si="1"/>
        <v>639540</v>
      </c>
    </row>
    <row r="16" spans="1:243" ht="15" x14ac:dyDescent="0.2">
      <c r="A16" s="91"/>
      <c r="B16" s="101" t="s">
        <v>170</v>
      </c>
      <c r="C16" s="102" t="s">
        <v>166</v>
      </c>
      <c r="D16" s="103" t="s">
        <v>5</v>
      </c>
      <c r="E16" s="109">
        <v>6</v>
      </c>
      <c r="F16" s="105">
        <v>450000</v>
      </c>
      <c r="G16" s="106">
        <f t="shared" si="2"/>
        <v>2700000</v>
      </c>
      <c r="H16" s="95"/>
      <c r="I16" s="95"/>
      <c r="J16" s="96"/>
      <c r="K16" s="96"/>
      <c r="L16" s="91"/>
      <c r="M16" s="91"/>
      <c r="N16" s="91"/>
      <c r="O16" s="91"/>
      <c r="P16" s="91"/>
      <c r="Q16" s="91"/>
      <c r="R16" s="97">
        <f t="shared" si="0"/>
        <v>3645000</v>
      </c>
      <c r="S16" s="98">
        <v>4123224</v>
      </c>
      <c r="T16" s="97"/>
      <c r="U16" s="100">
        <f t="shared" si="3"/>
        <v>850500</v>
      </c>
      <c r="V16" s="107">
        <f t="shared" si="4"/>
        <v>3550500</v>
      </c>
      <c r="W16" s="91"/>
      <c r="X16" s="106"/>
      <c r="Y16" s="106"/>
      <c r="Z16" s="106"/>
      <c r="AA16" s="106"/>
      <c r="AB16" s="106"/>
      <c r="AC16" s="106"/>
      <c r="AD16" s="108">
        <f t="shared" si="1"/>
        <v>2700000</v>
      </c>
    </row>
    <row r="17" spans="1:243" x14ac:dyDescent="0.2">
      <c r="A17" s="91"/>
      <c r="B17" s="103"/>
      <c r="C17" s="102"/>
      <c r="D17" s="103"/>
      <c r="E17" s="102"/>
      <c r="F17" s="106"/>
      <c r="G17" s="110"/>
      <c r="H17" s="95"/>
      <c r="I17" s="95"/>
      <c r="J17" s="96"/>
      <c r="K17" s="96"/>
      <c r="L17" s="91"/>
      <c r="M17" s="91"/>
      <c r="N17" s="91"/>
      <c r="O17" s="91"/>
      <c r="P17" s="91"/>
      <c r="Q17" s="91"/>
      <c r="R17" s="97">
        <f t="shared" si="0"/>
        <v>0</v>
      </c>
      <c r="S17" s="91">
        <v>0</v>
      </c>
      <c r="T17" s="97"/>
      <c r="U17" s="100">
        <f t="shared" si="3"/>
        <v>0</v>
      </c>
      <c r="V17" s="107">
        <f t="shared" si="4"/>
        <v>0</v>
      </c>
      <c r="W17" s="91"/>
      <c r="X17" s="110"/>
      <c r="Y17" s="110"/>
      <c r="Z17" s="110"/>
      <c r="AA17" s="110"/>
      <c r="AB17" s="110"/>
      <c r="AC17" s="110"/>
      <c r="AD17" s="108">
        <f t="shared" si="1"/>
        <v>0</v>
      </c>
    </row>
    <row r="18" spans="1:243" ht="15" x14ac:dyDescent="0.2">
      <c r="A18" s="91"/>
      <c r="B18" s="111" t="s">
        <v>15</v>
      </c>
      <c r="C18" s="93" t="s">
        <v>16</v>
      </c>
      <c r="D18" s="92"/>
      <c r="E18" s="112"/>
      <c r="F18" s="113"/>
      <c r="G18" s="113">
        <f>SUM(G19:G25)</f>
        <v>3186666</v>
      </c>
      <c r="H18" s="95"/>
      <c r="I18" s="95"/>
      <c r="J18" s="96"/>
      <c r="K18" s="96"/>
      <c r="L18" s="91"/>
      <c r="M18" s="91"/>
      <c r="N18" s="91"/>
      <c r="O18" s="91"/>
      <c r="P18" s="91"/>
      <c r="Q18" s="91"/>
      <c r="R18" s="97">
        <f t="shared" si="0"/>
        <v>4301999.0999999996</v>
      </c>
      <c r="S18" s="98">
        <v>5099927.4000000004</v>
      </c>
      <c r="T18" s="97"/>
      <c r="U18" s="100">
        <f t="shared" si="3"/>
        <v>1003799.79</v>
      </c>
      <c r="V18" s="107"/>
      <c r="W18" s="91"/>
      <c r="X18" s="113"/>
      <c r="Y18" s="113"/>
      <c r="Z18" s="113"/>
      <c r="AA18" s="113"/>
      <c r="AB18" s="113"/>
      <c r="AC18" s="113"/>
      <c r="AD18" s="94">
        <f>G18+Z18+AC18</f>
        <v>3186666</v>
      </c>
    </row>
    <row r="19" spans="1:243" ht="15" x14ac:dyDescent="0.2">
      <c r="A19" s="114" t="s">
        <v>144</v>
      </c>
      <c r="B19" s="101" t="s">
        <v>1223</v>
      </c>
      <c r="C19" s="102" t="s">
        <v>18</v>
      </c>
      <c r="D19" s="103" t="s">
        <v>8</v>
      </c>
      <c r="E19" s="104">
        <v>62.56</v>
      </c>
      <c r="F19" s="106">
        <v>13840</v>
      </c>
      <c r="G19" s="106">
        <f t="shared" ref="G19:G25" si="5">ROUND(E19*F19,0)</f>
        <v>865830</v>
      </c>
      <c r="H19" s="95"/>
      <c r="I19" s="95"/>
      <c r="J19" s="96"/>
      <c r="K19" s="96"/>
      <c r="L19" s="91"/>
      <c r="M19" s="91"/>
      <c r="N19" s="91"/>
      <c r="O19" s="91"/>
      <c r="P19" s="91"/>
      <c r="Q19" s="91"/>
      <c r="R19" s="97">
        <f t="shared" si="0"/>
        <v>1168870.5</v>
      </c>
      <c r="S19" s="98">
        <v>2829794.4000000004</v>
      </c>
      <c r="T19" s="97"/>
      <c r="U19" s="100">
        <f t="shared" si="3"/>
        <v>272736.45</v>
      </c>
      <c r="V19" s="107">
        <f t="shared" si="4"/>
        <v>1138566.45</v>
      </c>
      <c r="W19" s="91"/>
      <c r="X19" s="106"/>
      <c r="Y19" s="106"/>
      <c r="Z19" s="106"/>
      <c r="AA19" s="106"/>
      <c r="AB19" s="106"/>
      <c r="AC19" s="106"/>
      <c r="AD19" s="108">
        <f>G19+Z19+AC19</f>
        <v>865830</v>
      </c>
    </row>
    <row r="20" spans="1:243" ht="15" x14ac:dyDescent="0.2">
      <c r="A20" s="91">
        <v>100216</v>
      </c>
      <c r="B20" s="101" t="s">
        <v>1224</v>
      </c>
      <c r="C20" s="102" t="s">
        <v>19</v>
      </c>
      <c r="D20" s="103" t="s">
        <v>11</v>
      </c>
      <c r="E20" s="104">
        <f>13.55-6</f>
        <v>7.5500000000000007</v>
      </c>
      <c r="F20" s="106">
        <v>23499</v>
      </c>
      <c r="G20" s="106">
        <f t="shared" si="5"/>
        <v>177417</v>
      </c>
      <c r="H20" s="95"/>
      <c r="I20" s="95"/>
      <c r="J20" s="96"/>
      <c r="K20" s="96"/>
      <c r="L20" s="91"/>
      <c r="M20" s="91"/>
      <c r="N20" s="91"/>
      <c r="O20" s="91"/>
      <c r="P20" s="91"/>
      <c r="Q20" s="91"/>
      <c r="R20" s="97">
        <f t="shared" si="0"/>
        <v>239512.95</v>
      </c>
      <c r="S20" s="98">
        <v>103076.54999999999</v>
      </c>
      <c r="T20" s="97"/>
      <c r="U20" s="100">
        <f t="shared" si="3"/>
        <v>55886.355000000003</v>
      </c>
      <c r="V20" s="107">
        <f t="shared" si="4"/>
        <v>233303.35500000001</v>
      </c>
      <c r="W20" s="91"/>
      <c r="X20" s="106"/>
      <c r="Y20" s="106"/>
      <c r="Z20" s="106"/>
      <c r="AA20" s="106"/>
      <c r="AB20" s="106"/>
      <c r="AC20" s="106"/>
      <c r="AD20" s="108">
        <f t="shared" ref="AD20:AD33" si="6">G20+Z20+AC20</f>
        <v>177417</v>
      </c>
    </row>
    <row r="21" spans="1:243" ht="15" x14ac:dyDescent="0.2">
      <c r="A21" s="91">
        <v>100203</v>
      </c>
      <c r="B21" s="101" t="s">
        <v>1225</v>
      </c>
      <c r="C21" s="102" t="s">
        <v>20</v>
      </c>
      <c r="D21" s="103" t="s">
        <v>21</v>
      </c>
      <c r="E21" s="104">
        <f>(0.3*6)*3</f>
        <v>5.3999999999999995</v>
      </c>
      <c r="F21" s="106">
        <v>230582</v>
      </c>
      <c r="G21" s="106">
        <f t="shared" si="5"/>
        <v>1245143</v>
      </c>
      <c r="H21" s="95"/>
      <c r="I21" s="95"/>
      <c r="J21" s="96"/>
      <c r="K21" s="96"/>
      <c r="L21" s="91"/>
      <c r="M21" s="91"/>
      <c r="N21" s="91"/>
      <c r="O21" s="91"/>
      <c r="P21" s="91"/>
      <c r="Q21" s="91"/>
      <c r="R21" s="97">
        <f t="shared" si="0"/>
        <v>1680943.0499999998</v>
      </c>
      <c r="S21" s="98">
        <v>1249584.2999999998</v>
      </c>
      <c r="T21" s="97"/>
      <c r="U21" s="100">
        <f t="shared" si="3"/>
        <v>392220.04499999998</v>
      </c>
      <c r="V21" s="107">
        <f t="shared" si="4"/>
        <v>1637363.0449999999</v>
      </c>
      <c r="W21" s="91"/>
      <c r="X21" s="106"/>
      <c r="Y21" s="106"/>
      <c r="Z21" s="106"/>
      <c r="AA21" s="106"/>
      <c r="AB21" s="106"/>
      <c r="AC21" s="106"/>
      <c r="AD21" s="108">
        <f t="shared" si="6"/>
        <v>1245143</v>
      </c>
    </row>
    <row r="22" spans="1:243" ht="15" x14ac:dyDescent="0.2">
      <c r="A22" s="91">
        <v>100214</v>
      </c>
      <c r="B22" s="101" t="s">
        <v>1226</v>
      </c>
      <c r="C22" s="102" t="s">
        <v>22</v>
      </c>
      <c r="D22" s="103" t="s">
        <v>11</v>
      </c>
      <c r="E22" s="104">
        <f>13.55-6</f>
        <v>7.5500000000000007</v>
      </c>
      <c r="F22" s="106">
        <v>8363</v>
      </c>
      <c r="G22" s="106">
        <f t="shared" si="5"/>
        <v>63141</v>
      </c>
      <c r="H22" s="95"/>
      <c r="I22" s="95"/>
      <c r="J22" s="96"/>
      <c r="K22" s="96"/>
      <c r="L22" s="91"/>
      <c r="M22" s="91"/>
      <c r="N22" s="91"/>
      <c r="O22" s="91"/>
      <c r="P22" s="91"/>
      <c r="Q22" s="91"/>
      <c r="R22" s="97">
        <f t="shared" si="0"/>
        <v>85240.35</v>
      </c>
      <c r="S22" s="98">
        <v>71138.25</v>
      </c>
      <c r="T22" s="97"/>
      <c r="U22" s="100">
        <f t="shared" si="3"/>
        <v>19889.415000000001</v>
      </c>
      <c r="V22" s="107">
        <f t="shared" si="4"/>
        <v>83030.415000000008</v>
      </c>
      <c r="W22" s="91"/>
      <c r="X22" s="106"/>
      <c r="Y22" s="106"/>
      <c r="Z22" s="106"/>
      <c r="AA22" s="106"/>
      <c r="AB22" s="106"/>
      <c r="AC22" s="106"/>
      <c r="AD22" s="108">
        <f t="shared" si="6"/>
        <v>63141</v>
      </c>
    </row>
    <row r="23" spans="1:243" ht="15" x14ac:dyDescent="0.2">
      <c r="A23" s="91">
        <v>100314</v>
      </c>
      <c r="B23" s="101" t="s">
        <v>1227</v>
      </c>
      <c r="C23" s="102" t="s">
        <v>23</v>
      </c>
      <c r="D23" s="103" t="s">
        <v>8</v>
      </c>
      <c r="E23" s="104">
        <f>(13.55-6)*2.5</f>
        <v>18.875</v>
      </c>
      <c r="F23" s="106">
        <v>7378</v>
      </c>
      <c r="G23" s="106">
        <f t="shared" si="5"/>
        <v>139260</v>
      </c>
      <c r="H23" s="95"/>
      <c r="I23" s="95"/>
      <c r="J23" s="96"/>
      <c r="K23" s="96"/>
      <c r="L23" s="91"/>
      <c r="M23" s="91"/>
      <c r="N23" s="91"/>
      <c r="O23" s="91"/>
      <c r="P23" s="91"/>
      <c r="Q23" s="91"/>
      <c r="R23" s="97">
        <f t="shared" si="0"/>
        <v>188001</v>
      </c>
      <c r="S23" s="98">
        <v>145563.75</v>
      </c>
      <c r="T23" s="97"/>
      <c r="U23" s="100">
        <f t="shared" si="3"/>
        <v>43866.9</v>
      </c>
      <c r="V23" s="107">
        <f t="shared" si="4"/>
        <v>183126.9</v>
      </c>
      <c r="W23" s="91"/>
      <c r="X23" s="106"/>
      <c r="Y23" s="106"/>
      <c r="Z23" s="106"/>
      <c r="AA23" s="106"/>
      <c r="AB23" s="106"/>
      <c r="AC23" s="106"/>
      <c r="AD23" s="108">
        <f t="shared" si="6"/>
        <v>139260</v>
      </c>
    </row>
    <row r="24" spans="1:243" ht="17" customHeight="1" x14ac:dyDescent="0.2">
      <c r="A24" s="91">
        <v>100401</v>
      </c>
      <c r="B24" s="101" t="s">
        <v>1228</v>
      </c>
      <c r="C24" s="102" t="s">
        <v>24</v>
      </c>
      <c r="D24" s="103" t="s">
        <v>8</v>
      </c>
      <c r="E24" s="104">
        <v>62.56</v>
      </c>
      <c r="F24" s="106">
        <v>6770</v>
      </c>
      <c r="G24" s="106">
        <f t="shared" si="5"/>
        <v>423531</v>
      </c>
      <c r="H24" s="95"/>
      <c r="I24" s="95"/>
      <c r="J24" s="96"/>
      <c r="K24" s="96"/>
      <c r="L24" s="91"/>
      <c r="M24" s="91"/>
      <c r="N24" s="91"/>
      <c r="O24" s="91"/>
      <c r="P24" s="91"/>
      <c r="Q24" s="91"/>
      <c r="R24" s="97">
        <f t="shared" si="0"/>
        <v>571766.85000000009</v>
      </c>
      <c r="S24" s="98">
        <v>443290.05000000005</v>
      </c>
      <c r="T24" s="97"/>
      <c r="U24" s="100">
        <f t="shared" si="3"/>
        <v>133412.26500000001</v>
      </c>
      <c r="V24" s="107">
        <f t="shared" si="4"/>
        <v>556943.26500000001</v>
      </c>
      <c r="W24" s="91"/>
      <c r="X24" s="106"/>
      <c r="Y24" s="106"/>
      <c r="Z24" s="106"/>
      <c r="AA24" s="106"/>
      <c r="AB24" s="106"/>
      <c r="AC24" s="106"/>
      <c r="AD24" s="108">
        <f t="shared" si="6"/>
        <v>423531</v>
      </c>
    </row>
    <row r="25" spans="1:243" ht="15" x14ac:dyDescent="0.2">
      <c r="A25" s="91">
        <v>100202</v>
      </c>
      <c r="B25" s="101" t="s">
        <v>1229</v>
      </c>
      <c r="C25" s="102" t="s">
        <v>25</v>
      </c>
      <c r="D25" s="103" t="s">
        <v>21</v>
      </c>
      <c r="E25" s="104">
        <f>(0.4*0.4)*13.55</f>
        <v>2.1680000000000006</v>
      </c>
      <c r="F25" s="106">
        <v>125620</v>
      </c>
      <c r="G25" s="106">
        <f t="shared" si="5"/>
        <v>272344</v>
      </c>
      <c r="H25" s="95"/>
      <c r="I25" s="95"/>
      <c r="J25" s="96"/>
      <c r="K25" s="96"/>
      <c r="L25" s="91"/>
      <c r="M25" s="91"/>
      <c r="N25" s="91"/>
      <c r="O25" s="91"/>
      <c r="P25" s="91"/>
      <c r="Q25" s="91"/>
      <c r="R25" s="97">
        <f t="shared" si="0"/>
        <v>367664.4</v>
      </c>
      <c r="S25" s="98">
        <v>257480.09999999998</v>
      </c>
      <c r="T25" s="97"/>
      <c r="U25" s="100">
        <f t="shared" si="3"/>
        <v>85788.36</v>
      </c>
      <c r="V25" s="107">
        <f t="shared" si="4"/>
        <v>358132.36</v>
      </c>
      <c r="W25" s="91"/>
      <c r="X25" s="106"/>
      <c r="Y25" s="106"/>
      <c r="Z25" s="106"/>
      <c r="AA25" s="106"/>
      <c r="AB25" s="106"/>
      <c r="AC25" s="106"/>
      <c r="AD25" s="108">
        <f t="shared" si="6"/>
        <v>272344</v>
      </c>
    </row>
    <row r="26" spans="1:243" x14ac:dyDescent="0.2">
      <c r="A26" s="91"/>
      <c r="B26" s="103"/>
      <c r="C26" s="102"/>
      <c r="D26" s="103"/>
      <c r="E26" s="102"/>
      <c r="F26" s="106"/>
      <c r="G26" s="110"/>
      <c r="H26" s="95"/>
      <c r="I26" s="95"/>
      <c r="J26" s="96"/>
      <c r="K26" s="96"/>
      <c r="L26" s="91"/>
      <c r="M26" s="91"/>
      <c r="N26" s="91"/>
      <c r="O26" s="91"/>
      <c r="P26" s="91"/>
      <c r="Q26" s="91"/>
      <c r="R26" s="97">
        <f t="shared" si="0"/>
        <v>0</v>
      </c>
      <c r="S26" s="91">
        <v>0</v>
      </c>
      <c r="T26" s="97"/>
      <c r="U26" s="100">
        <f t="shared" si="3"/>
        <v>0</v>
      </c>
      <c r="V26" s="107">
        <f t="shared" si="4"/>
        <v>0</v>
      </c>
      <c r="W26" s="91"/>
      <c r="X26" s="110"/>
      <c r="Y26" s="110"/>
      <c r="Z26" s="110"/>
      <c r="AA26" s="110"/>
      <c r="AB26" s="110"/>
      <c r="AC26" s="110"/>
      <c r="AD26" s="108">
        <f t="shared" si="6"/>
        <v>0</v>
      </c>
    </row>
    <row r="27" spans="1:243" ht="15" x14ac:dyDescent="0.2">
      <c r="A27" s="91"/>
      <c r="B27" s="111" t="s">
        <v>26</v>
      </c>
      <c r="C27" s="93" t="s">
        <v>27</v>
      </c>
      <c r="D27" s="92"/>
      <c r="E27" s="112"/>
      <c r="F27" s="113"/>
      <c r="G27" s="113">
        <f>SUM(G28:G32)</f>
        <v>21028448.196800001</v>
      </c>
      <c r="H27" s="95"/>
      <c r="I27" s="95"/>
      <c r="J27" s="96"/>
      <c r="K27" s="96"/>
      <c r="L27" s="91"/>
      <c r="M27" s="91"/>
      <c r="N27" s="91"/>
      <c r="O27" s="91"/>
      <c r="P27" s="91"/>
      <c r="Q27" s="91"/>
      <c r="R27" s="97">
        <f t="shared" si="0"/>
        <v>28388405.065680001</v>
      </c>
      <c r="S27" s="98">
        <v>15442609.08096</v>
      </c>
      <c r="T27" s="97"/>
      <c r="U27" s="100">
        <f t="shared" si="3"/>
        <v>6623961.181992</v>
      </c>
      <c r="V27" s="107"/>
      <c r="W27" s="91"/>
      <c r="X27" s="113"/>
      <c r="Y27" s="113"/>
      <c r="Z27" s="113"/>
      <c r="AA27" s="113"/>
      <c r="AB27" s="113"/>
      <c r="AC27" s="113"/>
      <c r="AD27" s="94">
        <f>G27+Z27+AC27</f>
        <v>21028448.196800001</v>
      </c>
    </row>
    <row r="28" spans="1:243" ht="15" x14ac:dyDescent="0.2">
      <c r="A28" s="114" t="s">
        <v>143</v>
      </c>
      <c r="B28" s="101" t="s">
        <v>28</v>
      </c>
      <c r="C28" s="102" t="s">
        <v>821</v>
      </c>
      <c r="D28" s="103" t="s">
        <v>21</v>
      </c>
      <c r="E28" s="104">
        <f>'MOVIMIENTO DE TIERRA'!B3</f>
        <v>120.73599999999999</v>
      </c>
      <c r="F28" s="115">
        <v>6741</v>
      </c>
      <c r="G28" s="116">
        <f>F28*E28</f>
        <v>813881.37599999993</v>
      </c>
      <c r="H28" s="95"/>
      <c r="I28" s="95"/>
      <c r="J28" s="96"/>
      <c r="K28" s="96"/>
      <c r="L28" s="91"/>
      <c r="M28" s="91"/>
      <c r="N28" s="91"/>
      <c r="O28" s="91"/>
      <c r="P28" s="91"/>
      <c r="Q28" s="91"/>
      <c r="R28" s="97">
        <f t="shared" si="0"/>
        <v>1098739.8576</v>
      </c>
      <c r="S28" s="98">
        <v>553135.08095999993</v>
      </c>
      <c r="T28" s="97"/>
      <c r="U28" s="100">
        <f t="shared" si="3"/>
        <v>256372.63343999998</v>
      </c>
      <c r="V28" s="107">
        <f t="shared" si="4"/>
        <v>1070254.0094399999</v>
      </c>
      <c r="W28" s="91"/>
      <c r="X28" s="116"/>
      <c r="Y28" s="116"/>
      <c r="Z28" s="116"/>
      <c r="AA28" s="116"/>
      <c r="AB28" s="116"/>
      <c r="AC28" s="116"/>
      <c r="AD28" s="108">
        <f t="shared" si="6"/>
        <v>813881.37599999993</v>
      </c>
    </row>
    <row r="29" spans="1:243" ht="15" x14ac:dyDescent="0.2">
      <c r="A29" s="91">
        <v>100619</v>
      </c>
      <c r="B29" s="101" t="s">
        <v>1060</v>
      </c>
      <c r="C29" s="102" t="s">
        <v>822</v>
      </c>
      <c r="D29" s="103" t="s">
        <v>21</v>
      </c>
      <c r="E29" s="104">
        <f>'MOVIMIENTO DE TIERRA'!B3</f>
        <v>120.73599999999999</v>
      </c>
      <c r="F29" s="115">
        <v>76265</v>
      </c>
      <c r="G29" s="116">
        <f t="shared" ref="G29:G32" si="7">F29*E29</f>
        <v>9207931.0399999991</v>
      </c>
      <c r="H29" s="95"/>
      <c r="I29" s="95"/>
      <c r="J29" s="96"/>
      <c r="K29" s="96"/>
      <c r="L29" s="91"/>
      <c r="M29" s="91"/>
      <c r="N29" s="91"/>
      <c r="O29" s="91"/>
      <c r="P29" s="91"/>
      <c r="Q29" s="91"/>
      <c r="R29" s="97">
        <f t="shared" si="0"/>
        <v>12430706.903999997</v>
      </c>
      <c r="S29" s="98">
        <v>5048279.0999999996</v>
      </c>
      <c r="T29" s="97"/>
      <c r="U29" s="100">
        <f t="shared" si="3"/>
        <v>2900498.2775999997</v>
      </c>
      <c r="V29" s="107">
        <f t="shared" si="4"/>
        <v>12108429.317599999</v>
      </c>
      <c r="W29" s="91"/>
      <c r="X29" s="116"/>
      <c r="Y29" s="116"/>
      <c r="Z29" s="116"/>
      <c r="AA29" s="116"/>
      <c r="AB29" s="116"/>
      <c r="AC29" s="116"/>
      <c r="AD29" s="108">
        <f t="shared" si="6"/>
        <v>9207931.0399999991</v>
      </c>
    </row>
    <row r="30" spans="1:243" ht="15" x14ac:dyDescent="0.2">
      <c r="A30" s="91">
        <v>80603</v>
      </c>
      <c r="B30" s="101" t="s">
        <v>29</v>
      </c>
      <c r="C30" s="102" t="s">
        <v>823</v>
      </c>
      <c r="D30" s="103" t="s">
        <v>8</v>
      </c>
      <c r="E30" s="104">
        <f>'MOVIMIENTO DE TIERRA'!B2</f>
        <v>603.67999999999995</v>
      </c>
      <c r="F30" s="115">
        <v>4066</v>
      </c>
      <c r="G30" s="116">
        <f t="shared" si="7"/>
        <v>2454562.88</v>
      </c>
      <c r="H30" s="95"/>
      <c r="I30" s="95"/>
      <c r="J30" s="96"/>
      <c r="K30" s="96"/>
      <c r="L30" s="91"/>
      <c r="M30" s="91"/>
      <c r="N30" s="91"/>
      <c r="O30" s="91"/>
      <c r="P30" s="91"/>
      <c r="Q30" s="91"/>
      <c r="R30" s="97">
        <f t="shared" si="0"/>
        <v>3313659.8879999998</v>
      </c>
      <c r="S30" s="98">
        <v>2350823.8499999996</v>
      </c>
      <c r="T30" s="97"/>
      <c r="U30" s="100">
        <f t="shared" si="3"/>
        <v>773187.30719999992</v>
      </c>
      <c r="V30" s="107">
        <f t="shared" si="4"/>
        <v>3227750.1871999996</v>
      </c>
      <c r="W30" s="91"/>
      <c r="X30" s="116"/>
      <c r="Y30" s="116"/>
      <c r="Z30" s="116"/>
      <c r="AA30" s="116"/>
      <c r="AB30" s="116"/>
      <c r="AC30" s="116"/>
      <c r="AD30" s="108">
        <f t="shared" si="6"/>
        <v>2454562.88</v>
      </c>
    </row>
    <row r="31" spans="1:243" ht="15" x14ac:dyDescent="0.2">
      <c r="A31" s="91">
        <v>100622</v>
      </c>
      <c r="B31" s="101" t="s">
        <v>30</v>
      </c>
      <c r="C31" s="102" t="s">
        <v>824</v>
      </c>
      <c r="D31" s="103" t="s">
        <v>21</v>
      </c>
      <c r="E31" s="104">
        <f>(E28+E29+E19+E21+E25)*1.3</f>
        <v>405.08</v>
      </c>
      <c r="F31" s="115">
        <v>9999</v>
      </c>
      <c r="G31" s="116">
        <f t="shared" si="7"/>
        <v>4050394.92</v>
      </c>
      <c r="H31" s="95"/>
      <c r="I31" s="95"/>
      <c r="J31" s="96"/>
      <c r="K31" s="96"/>
      <c r="L31" s="91"/>
      <c r="M31" s="91"/>
      <c r="N31" s="91"/>
      <c r="O31" s="91"/>
      <c r="P31" s="91"/>
      <c r="Q31" s="91"/>
      <c r="R31" s="97"/>
      <c r="S31" s="98"/>
      <c r="T31" s="97"/>
      <c r="U31" s="100">
        <f t="shared" si="3"/>
        <v>1275874.3998</v>
      </c>
      <c r="V31" s="107">
        <f t="shared" si="4"/>
        <v>5326269.3197999997</v>
      </c>
      <c r="W31" s="91"/>
      <c r="X31" s="116"/>
      <c r="Y31" s="116"/>
      <c r="Z31" s="116"/>
      <c r="AA31" s="116"/>
      <c r="AB31" s="116"/>
      <c r="AC31" s="116"/>
      <c r="AD31" s="108">
        <f t="shared" si="6"/>
        <v>4050394.92</v>
      </c>
    </row>
    <row r="32" spans="1:243" s="41" customFormat="1" ht="15" x14ac:dyDescent="0.2">
      <c r="A32" s="91">
        <v>100608</v>
      </c>
      <c r="B32" s="101" t="s">
        <v>31</v>
      </c>
      <c r="C32" s="102" t="s">
        <v>825</v>
      </c>
      <c r="D32" s="103" t="s">
        <v>21</v>
      </c>
      <c r="E32" s="104">
        <f>'MOVIMIENTO DE TIERRA'!D5</f>
        <v>156.95679999999999</v>
      </c>
      <c r="F32" s="115">
        <v>28681</v>
      </c>
      <c r="G32" s="116">
        <f t="shared" si="7"/>
        <v>4501677.9808</v>
      </c>
      <c r="H32" s="117"/>
      <c r="I32" s="117"/>
      <c r="J32" s="118"/>
      <c r="K32" s="118"/>
      <c r="L32" s="119"/>
      <c r="M32" s="119"/>
      <c r="N32" s="119"/>
      <c r="O32" s="119"/>
      <c r="P32" s="119"/>
      <c r="Q32" s="119"/>
      <c r="R32" s="97">
        <f t="shared" si="0"/>
        <v>6077265.2740799999</v>
      </c>
      <c r="S32" s="120">
        <v>7490371.0500000007</v>
      </c>
      <c r="T32" s="121"/>
      <c r="U32" s="100">
        <f t="shared" si="3"/>
        <v>1418028.5639520001</v>
      </c>
      <c r="V32" s="107">
        <f t="shared" si="4"/>
        <v>5919706.5447519999</v>
      </c>
      <c r="W32" s="119"/>
      <c r="X32" s="116"/>
      <c r="Y32" s="116"/>
      <c r="Z32" s="116"/>
      <c r="AA32" s="116"/>
      <c r="AB32" s="116"/>
      <c r="AC32" s="116"/>
      <c r="AD32" s="108">
        <f t="shared" si="6"/>
        <v>4501677.9808</v>
      </c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7"/>
      <c r="CA32" s="197"/>
      <c r="CB32" s="197"/>
      <c r="CC32" s="197"/>
      <c r="CD32" s="197"/>
      <c r="CE32" s="197"/>
      <c r="CF32" s="197"/>
      <c r="CG32" s="197"/>
      <c r="CH32" s="197"/>
      <c r="CI32" s="197"/>
      <c r="CJ32" s="197"/>
      <c r="CK32" s="197"/>
      <c r="CL32" s="197"/>
      <c r="CM32" s="197"/>
      <c r="CN32" s="197"/>
      <c r="CO32" s="197"/>
      <c r="CP32" s="197"/>
      <c r="CQ32" s="197"/>
      <c r="CR32" s="197"/>
      <c r="CS32" s="197"/>
      <c r="CT32" s="197"/>
      <c r="CU32" s="197"/>
      <c r="CV32" s="197"/>
      <c r="CW32" s="197"/>
      <c r="CX32" s="197"/>
      <c r="CY32" s="197"/>
      <c r="CZ32" s="197"/>
      <c r="DA32" s="197"/>
      <c r="DB32" s="197"/>
      <c r="DC32" s="197"/>
      <c r="DD32" s="197"/>
      <c r="DE32" s="197"/>
      <c r="DF32" s="197"/>
      <c r="DG32" s="197"/>
      <c r="DH32" s="197"/>
      <c r="DI32" s="197"/>
      <c r="DJ32" s="197"/>
      <c r="DK32" s="197"/>
      <c r="DL32" s="197"/>
      <c r="DM32" s="197"/>
      <c r="DN32" s="197"/>
      <c r="DO32" s="197"/>
      <c r="DP32" s="197"/>
      <c r="DQ32" s="197"/>
      <c r="DR32" s="197"/>
      <c r="DS32" s="197"/>
      <c r="DT32" s="197"/>
      <c r="DU32" s="197"/>
      <c r="DV32" s="197"/>
      <c r="DW32" s="197"/>
      <c r="DX32" s="197"/>
      <c r="DY32" s="197"/>
      <c r="DZ32" s="197"/>
      <c r="EA32" s="197"/>
      <c r="EB32" s="197"/>
      <c r="EC32" s="197"/>
      <c r="ED32" s="197"/>
      <c r="EE32" s="197"/>
      <c r="EF32" s="197"/>
      <c r="EG32" s="197"/>
      <c r="EH32" s="197"/>
      <c r="EI32" s="197"/>
      <c r="EJ32" s="197"/>
      <c r="EK32" s="197"/>
      <c r="EL32" s="197"/>
      <c r="EM32" s="197"/>
      <c r="EN32" s="197"/>
      <c r="EO32" s="197"/>
      <c r="EP32" s="197"/>
      <c r="EQ32" s="197"/>
      <c r="ER32" s="197"/>
      <c r="ES32" s="197"/>
      <c r="ET32" s="197"/>
      <c r="EU32" s="197"/>
      <c r="EV32" s="197"/>
      <c r="EW32" s="197"/>
      <c r="EX32" s="197"/>
      <c r="EY32" s="197"/>
      <c r="EZ32" s="197"/>
      <c r="FA32" s="197"/>
      <c r="FB32" s="197"/>
      <c r="FC32" s="197"/>
      <c r="FD32" s="197"/>
      <c r="FE32" s="197"/>
      <c r="FF32" s="197"/>
      <c r="FG32" s="197"/>
      <c r="FH32" s="197"/>
      <c r="FI32" s="197"/>
      <c r="FJ32" s="197"/>
      <c r="FK32" s="197"/>
      <c r="FL32" s="197"/>
      <c r="FM32" s="197"/>
      <c r="FN32" s="197"/>
      <c r="FO32" s="197"/>
      <c r="FP32" s="197"/>
      <c r="FQ32" s="197"/>
      <c r="FR32" s="197"/>
      <c r="FS32" s="197"/>
      <c r="FT32" s="197"/>
      <c r="FU32" s="197"/>
      <c r="FV32" s="197"/>
      <c r="FW32" s="197"/>
      <c r="FX32" s="197"/>
      <c r="FY32" s="197"/>
      <c r="FZ32" s="197"/>
      <c r="GA32" s="197"/>
      <c r="GB32" s="197"/>
      <c r="GC32" s="197"/>
      <c r="GD32" s="197"/>
      <c r="GE32" s="197"/>
      <c r="GF32" s="197"/>
      <c r="GG32" s="197"/>
      <c r="GH32" s="197"/>
      <c r="GI32" s="197"/>
      <c r="GJ32" s="197"/>
      <c r="GK32" s="197"/>
      <c r="GL32" s="197"/>
      <c r="GM32" s="197"/>
      <c r="GN32" s="197"/>
      <c r="GO32" s="197"/>
      <c r="GP32" s="197"/>
      <c r="GQ32" s="197"/>
      <c r="GR32" s="197"/>
      <c r="GS32" s="197"/>
      <c r="GT32" s="197"/>
      <c r="GU32" s="197"/>
      <c r="GV32" s="197"/>
      <c r="GW32" s="197"/>
      <c r="GX32" s="197"/>
      <c r="GY32" s="197"/>
      <c r="GZ32" s="197"/>
      <c r="HA32" s="197"/>
      <c r="HB32" s="197"/>
      <c r="HC32" s="197"/>
      <c r="HD32" s="197"/>
      <c r="HE32" s="197"/>
      <c r="HF32" s="197"/>
      <c r="HG32" s="197"/>
      <c r="HH32" s="197"/>
      <c r="HI32" s="197"/>
      <c r="HJ32" s="197"/>
      <c r="HK32" s="197"/>
      <c r="HL32" s="197"/>
      <c r="HM32" s="197"/>
      <c r="HN32" s="197"/>
      <c r="HO32" s="197"/>
      <c r="HP32" s="197"/>
      <c r="HQ32" s="197"/>
      <c r="HR32" s="197"/>
      <c r="HS32" s="197"/>
      <c r="HT32" s="197"/>
      <c r="HU32" s="197"/>
      <c r="HV32" s="197"/>
      <c r="HW32" s="197"/>
      <c r="HX32" s="197"/>
      <c r="HY32" s="197"/>
      <c r="HZ32" s="197"/>
      <c r="IA32" s="197"/>
      <c r="IB32" s="197"/>
      <c r="IC32" s="197"/>
      <c r="ID32" s="197"/>
      <c r="IE32" s="197"/>
      <c r="IF32" s="197"/>
      <c r="IG32" s="197"/>
      <c r="IH32" s="197"/>
      <c r="II32" s="197"/>
    </row>
    <row r="33" spans="1:30" x14ac:dyDescent="0.2">
      <c r="A33" s="91"/>
      <c r="B33" s="101"/>
      <c r="C33" s="102"/>
      <c r="D33" s="103"/>
      <c r="E33" s="122"/>
      <c r="F33" s="106"/>
      <c r="G33" s="106"/>
      <c r="H33" s="95"/>
      <c r="I33" s="95"/>
      <c r="J33" s="96"/>
      <c r="K33" s="96"/>
      <c r="L33" s="91"/>
      <c r="M33" s="91"/>
      <c r="N33" s="91"/>
      <c r="O33" s="91"/>
      <c r="P33" s="91"/>
      <c r="Q33" s="91"/>
      <c r="R33" s="97">
        <f t="shared" si="0"/>
        <v>0</v>
      </c>
      <c r="S33" s="98">
        <v>0</v>
      </c>
      <c r="T33" s="97"/>
      <c r="U33" s="100">
        <f t="shared" si="3"/>
        <v>0</v>
      </c>
      <c r="V33" s="107">
        <f t="shared" si="4"/>
        <v>0</v>
      </c>
      <c r="W33" s="91"/>
      <c r="X33" s="106"/>
      <c r="Y33" s="106"/>
      <c r="Z33" s="106"/>
      <c r="AA33" s="106"/>
      <c r="AB33" s="106"/>
      <c r="AC33" s="106"/>
      <c r="AD33" s="108">
        <f t="shared" si="6"/>
        <v>0</v>
      </c>
    </row>
    <row r="34" spans="1:30" x14ac:dyDescent="0.2">
      <c r="A34" s="91"/>
      <c r="B34" s="103"/>
      <c r="C34" s="207" t="s">
        <v>97</v>
      </c>
      <c r="D34" s="207"/>
      <c r="E34" s="207"/>
      <c r="F34" s="208"/>
      <c r="G34" s="123">
        <f>SUM(G7:G32)/2</f>
        <v>40687245.196800001</v>
      </c>
      <c r="H34" s="95"/>
      <c r="I34" s="95"/>
      <c r="J34" s="96"/>
      <c r="K34" s="96"/>
      <c r="L34" s="91"/>
      <c r="M34" s="91"/>
      <c r="N34" s="91"/>
      <c r="O34" s="91"/>
      <c r="P34" s="91"/>
      <c r="Q34" s="91"/>
      <c r="R34" s="121">
        <f t="shared" si="0"/>
        <v>54927781.01568</v>
      </c>
      <c r="S34" s="98">
        <v>41420625.574175999</v>
      </c>
      <c r="T34" s="97"/>
      <c r="U34" s="100">
        <f t="shared" si="3"/>
        <v>12816482.236992</v>
      </c>
      <c r="V34" s="107"/>
      <c r="W34" s="91"/>
      <c r="X34" s="123"/>
      <c r="Y34" s="123"/>
      <c r="Z34" s="123"/>
      <c r="AA34" s="123"/>
      <c r="AB34" s="123"/>
      <c r="AC34" s="123"/>
      <c r="AD34" s="123">
        <f>SUM(AD7:AD32)/2</f>
        <v>40687245.196800001</v>
      </c>
    </row>
    <row r="35" spans="1:30" x14ac:dyDescent="0.2">
      <c r="A35" s="91"/>
      <c r="B35" s="103"/>
      <c r="C35" s="102"/>
      <c r="D35" s="103"/>
      <c r="E35" s="102"/>
      <c r="F35" s="106"/>
      <c r="G35" s="110"/>
      <c r="H35" s="95"/>
      <c r="I35" s="95"/>
      <c r="J35" s="96"/>
      <c r="K35" s="96"/>
      <c r="L35" s="91"/>
      <c r="M35" s="91"/>
      <c r="N35" s="91"/>
      <c r="O35" s="91"/>
      <c r="P35" s="91"/>
      <c r="Q35" s="91"/>
      <c r="R35" s="97">
        <f t="shared" si="0"/>
        <v>0</v>
      </c>
      <c r="S35" s="98">
        <v>0</v>
      </c>
      <c r="T35" s="97"/>
      <c r="U35" s="100">
        <f t="shared" si="3"/>
        <v>0</v>
      </c>
      <c r="V35" s="107">
        <f t="shared" si="4"/>
        <v>0</v>
      </c>
      <c r="W35" s="91"/>
      <c r="X35" s="91"/>
      <c r="Y35" s="91"/>
      <c r="Z35" s="91"/>
      <c r="AA35" s="91"/>
      <c r="AB35" s="91"/>
      <c r="AC35" s="91"/>
      <c r="AD35" s="91"/>
    </row>
    <row r="36" spans="1:30" ht="30" customHeight="1" x14ac:dyDescent="0.2">
      <c r="A36" s="91"/>
      <c r="B36" s="86">
        <v>2</v>
      </c>
      <c r="C36" s="209" t="s">
        <v>171</v>
      </c>
      <c r="D36" s="209"/>
      <c r="E36" s="209"/>
      <c r="F36" s="210"/>
      <c r="G36" s="124"/>
      <c r="H36" s="95"/>
      <c r="I36" s="95"/>
      <c r="J36" s="96"/>
      <c r="K36" s="96"/>
      <c r="L36" s="91"/>
      <c r="M36" s="91"/>
      <c r="N36" s="91"/>
      <c r="O36" s="91"/>
      <c r="P36" s="91"/>
      <c r="Q36" s="91"/>
      <c r="R36" s="97">
        <f t="shared" si="0"/>
        <v>0</v>
      </c>
      <c r="S36" s="91">
        <v>0</v>
      </c>
      <c r="T36" s="97"/>
      <c r="U36" s="100">
        <f t="shared" si="3"/>
        <v>0</v>
      </c>
      <c r="V36" s="107">
        <f t="shared" si="4"/>
        <v>0</v>
      </c>
      <c r="W36" s="91"/>
      <c r="X36" s="124"/>
      <c r="Y36" s="124"/>
      <c r="Z36" s="124"/>
      <c r="AA36" s="124"/>
      <c r="AB36" s="124"/>
      <c r="AC36" s="124"/>
      <c r="AD36" s="124"/>
    </row>
    <row r="37" spans="1:30" ht="15" x14ac:dyDescent="0.2">
      <c r="A37" s="91"/>
      <c r="B37" s="111" t="s">
        <v>32</v>
      </c>
      <c r="C37" s="93" t="s">
        <v>172</v>
      </c>
      <c r="D37" s="125"/>
      <c r="E37" s="112"/>
      <c r="F37" s="126"/>
      <c r="G37" s="113">
        <f>SUM(G38)</f>
        <v>54566307.125475295</v>
      </c>
      <c r="H37" s="95"/>
      <c r="I37" s="95"/>
      <c r="J37" s="96"/>
      <c r="K37" s="96"/>
      <c r="L37" s="91"/>
      <c r="M37" s="91"/>
      <c r="N37" s="91"/>
      <c r="O37" s="91"/>
      <c r="P37" s="91"/>
      <c r="Q37" s="91"/>
      <c r="R37" s="97">
        <f t="shared" si="0"/>
        <v>73664514.61939165</v>
      </c>
      <c r="S37" s="98">
        <v>98313398.964143977</v>
      </c>
      <c r="T37" s="97"/>
      <c r="U37" s="100">
        <f t="shared" si="3"/>
        <v>17188386.744524717</v>
      </c>
      <c r="V37" s="107">
        <f t="shared" si="4"/>
        <v>71754693.870000005</v>
      </c>
      <c r="W37" s="91"/>
      <c r="X37" s="112"/>
      <c r="Y37" s="126"/>
      <c r="Z37" s="113">
        <f>SUM(Z38)</f>
        <v>14119018.325999999</v>
      </c>
      <c r="AA37" s="112"/>
      <c r="AB37" s="126"/>
      <c r="AC37" s="113"/>
      <c r="AD37" s="94">
        <f>G37+Z37+AC37</f>
        <v>68685325.451475292</v>
      </c>
    </row>
    <row r="38" spans="1:30" ht="15" x14ac:dyDescent="0.2">
      <c r="A38" s="91">
        <v>120101</v>
      </c>
      <c r="B38" s="101" t="s">
        <v>33</v>
      </c>
      <c r="C38" s="102" t="s">
        <v>173</v>
      </c>
      <c r="D38" s="103" t="s">
        <v>89</v>
      </c>
      <c r="E38" s="104">
        <v>8280.1680008308485</v>
      </c>
      <c r="F38" s="48">
        <v>6590</v>
      </c>
      <c r="G38" s="106">
        <f>F38*E38</f>
        <v>54566307.125475295</v>
      </c>
      <c r="H38" s="95"/>
      <c r="I38" s="95"/>
      <c r="J38" s="96"/>
      <c r="K38" s="96"/>
      <c r="L38" s="91"/>
      <c r="M38" s="91"/>
      <c r="N38" s="91"/>
      <c r="O38" s="91"/>
      <c r="P38" s="91"/>
      <c r="Q38" s="91"/>
      <c r="R38" s="97">
        <f t="shared" si="0"/>
        <v>73664514.61939165</v>
      </c>
      <c r="S38" s="98">
        <v>98313398.964143977</v>
      </c>
      <c r="T38" s="97"/>
      <c r="U38" s="100">
        <f t="shared" si="3"/>
        <v>17188386.744524717</v>
      </c>
      <c r="V38" s="107">
        <f t="shared" si="4"/>
        <v>71754693.870000005</v>
      </c>
      <c r="W38" s="91"/>
      <c r="X38" s="104">
        <v>2070.04</v>
      </c>
      <c r="Y38" s="48">
        <f>(F38*3.5%)+F38</f>
        <v>6820.65</v>
      </c>
      <c r="Z38" s="106">
        <f>Y38*X38</f>
        <v>14119018.325999999</v>
      </c>
      <c r="AA38" s="122"/>
      <c r="AB38" s="48"/>
      <c r="AC38" s="106"/>
      <c r="AD38" s="108">
        <f t="shared" ref="AD38" si="8">G38+Z38+AC38</f>
        <v>68685325.451475292</v>
      </c>
    </row>
    <row r="39" spans="1:30" ht="15" x14ac:dyDescent="0.2">
      <c r="A39" s="91"/>
      <c r="B39" s="111" t="s">
        <v>1230</v>
      </c>
      <c r="C39" s="93" t="s">
        <v>174</v>
      </c>
      <c r="D39" s="125"/>
      <c r="E39" s="112"/>
      <c r="F39" s="126"/>
      <c r="G39" s="113">
        <f>SUM(G40)</f>
        <v>51300778</v>
      </c>
      <c r="H39" s="95"/>
      <c r="I39" s="95"/>
      <c r="J39" s="96"/>
      <c r="K39" s="96"/>
      <c r="L39" s="91"/>
      <c r="M39" s="91"/>
      <c r="N39" s="91"/>
      <c r="O39" s="91"/>
      <c r="P39" s="91"/>
      <c r="Q39" s="91"/>
      <c r="R39" s="97">
        <f t="shared" si="0"/>
        <v>69256050.299999997</v>
      </c>
      <c r="S39" s="98">
        <v>92429818.199999988</v>
      </c>
      <c r="T39" s="97"/>
      <c r="U39" s="100">
        <f t="shared" si="3"/>
        <v>16159745.07</v>
      </c>
      <c r="V39" s="107">
        <f t="shared" si="4"/>
        <v>67460523.069999993</v>
      </c>
      <c r="W39" s="91"/>
      <c r="X39" s="112"/>
      <c r="Y39" s="126"/>
      <c r="Z39" s="113">
        <f>SUM(Z40)</f>
        <v>13274076</v>
      </c>
      <c r="AA39" s="112"/>
      <c r="AB39" s="126"/>
      <c r="AC39" s="113"/>
      <c r="AD39" s="94">
        <f>G39+Z39+AC39</f>
        <v>64574854</v>
      </c>
    </row>
    <row r="40" spans="1:30" ht="15" x14ac:dyDescent="0.2">
      <c r="A40" s="91">
        <v>120101</v>
      </c>
      <c r="B40" s="101" t="s">
        <v>176</v>
      </c>
      <c r="C40" s="102" t="s">
        <v>175</v>
      </c>
      <c r="D40" s="103" t="s">
        <v>89</v>
      </c>
      <c r="E40" s="104">
        <v>7784.6400006923732</v>
      </c>
      <c r="F40" s="48">
        <v>6590</v>
      </c>
      <c r="G40" s="106">
        <f t="shared" ref="G40" si="9">ROUND(E40*F40,0)</f>
        <v>51300778</v>
      </c>
      <c r="H40" s="95"/>
      <c r="I40" s="95"/>
      <c r="J40" s="96"/>
      <c r="K40" s="96"/>
      <c r="L40" s="91"/>
      <c r="M40" s="91"/>
      <c r="N40" s="91"/>
      <c r="O40" s="91"/>
      <c r="P40" s="91"/>
      <c r="Q40" s="91"/>
      <c r="R40" s="97">
        <f t="shared" si="0"/>
        <v>69256050.299999997</v>
      </c>
      <c r="S40" s="98">
        <v>92429818.199999988</v>
      </c>
      <c r="T40" s="97"/>
      <c r="U40" s="100">
        <f t="shared" si="3"/>
        <v>16159745.07</v>
      </c>
      <c r="V40" s="107">
        <f t="shared" si="4"/>
        <v>67460523.069999993</v>
      </c>
      <c r="W40" s="91"/>
      <c r="X40" s="104">
        <v>1946.1599993076261</v>
      </c>
      <c r="Y40" s="48">
        <f>(F40*3.5%)+F40</f>
        <v>6820.65</v>
      </c>
      <c r="Z40" s="106">
        <f t="shared" ref="Z40" si="10">ROUND(X40*Y40,0)</f>
        <v>13274076</v>
      </c>
      <c r="AA40" s="122"/>
      <c r="AB40" s="48"/>
      <c r="AC40" s="106"/>
      <c r="AD40" s="108">
        <f t="shared" ref="AD40" si="11">G40+Z40+AC40</f>
        <v>64574854</v>
      </c>
    </row>
    <row r="41" spans="1:30" x14ac:dyDescent="0.2">
      <c r="A41" s="91"/>
      <c r="B41" s="101"/>
      <c r="C41" s="102"/>
      <c r="D41" s="103"/>
      <c r="E41" s="122"/>
      <c r="F41" s="48"/>
      <c r="G41" s="106"/>
      <c r="H41" s="95"/>
      <c r="I41" s="95"/>
      <c r="J41" s="96"/>
      <c r="K41" s="96"/>
      <c r="L41" s="91"/>
      <c r="M41" s="91"/>
      <c r="N41" s="91"/>
      <c r="O41" s="91"/>
      <c r="P41" s="91"/>
      <c r="Q41" s="91"/>
      <c r="R41" s="97">
        <f t="shared" si="0"/>
        <v>0</v>
      </c>
      <c r="S41" s="98">
        <v>0</v>
      </c>
      <c r="T41" s="97"/>
      <c r="U41" s="100">
        <f t="shared" si="3"/>
        <v>0</v>
      </c>
      <c r="V41" s="107">
        <f t="shared" si="4"/>
        <v>0</v>
      </c>
      <c r="W41" s="91"/>
      <c r="X41" s="91"/>
      <c r="Y41" s="91"/>
      <c r="Z41" s="91"/>
      <c r="AA41" s="91"/>
      <c r="AB41" s="91"/>
      <c r="AC41" s="91"/>
      <c r="AD41" s="91"/>
    </row>
    <row r="42" spans="1:30" ht="17" customHeight="1" x14ac:dyDescent="0.2">
      <c r="A42" s="91"/>
      <c r="B42" s="103"/>
      <c r="C42" s="207" t="s">
        <v>191</v>
      </c>
      <c r="D42" s="207"/>
      <c r="E42" s="207"/>
      <c r="F42" s="208"/>
      <c r="G42" s="123">
        <f>G37+G39</f>
        <v>105867085.12547529</v>
      </c>
      <c r="H42" s="95"/>
      <c r="I42" s="95"/>
      <c r="J42" s="96"/>
      <c r="K42" s="96"/>
      <c r="L42" s="91"/>
      <c r="M42" s="91"/>
      <c r="N42" s="91"/>
      <c r="O42" s="91"/>
      <c r="P42" s="91"/>
      <c r="Q42" s="91"/>
      <c r="R42" s="121">
        <f t="shared" si="0"/>
        <v>142920564.91939166</v>
      </c>
      <c r="S42" s="98">
        <v>190743217.16414398</v>
      </c>
      <c r="T42" s="97"/>
      <c r="U42" s="100">
        <f t="shared" si="3"/>
        <v>33348131.814524718</v>
      </c>
      <c r="V42" s="107">
        <f t="shared" si="4"/>
        <v>139215216.94</v>
      </c>
      <c r="W42" s="91"/>
      <c r="X42" s="123"/>
      <c r="Y42" s="123"/>
      <c r="Z42" s="123">
        <f>Z37+Z39</f>
        <v>27393094.325999998</v>
      </c>
      <c r="AA42" s="123"/>
      <c r="AB42" s="123"/>
      <c r="AC42" s="123"/>
      <c r="AD42" s="123">
        <f>AD37+AD39</f>
        <v>133260179.45147529</v>
      </c>
    </row>
    <row r="43" spans="1:30" x14ac:dyDescent="0.2">
      <c r="A43" s="91"/>
      <c r="B43" s="103"/>
      <c r="C43" s="102"/>
      <c r="D43" s="103"/>
      <c r="E43" s="102"/>
      <c r="F43" s="106"/>
      <c r="G43" s="110"/>
      <c r="H43" s="95"/>
      <c r="I43" s="95"/>
      <c r="J43" s="96"/>
      <c r="K43" s="96"/>
      <c r="L43" s="91"/>
      <c r="M43" s="91"/>
      <c r="N43" s="91"/>
      <c r="O43" s="91"/>
      <c r="P43" s="91"/>
      <c r="Q43" s="91"/>
      <c r="R43" s="97">
        <f t="shared" si="0"/>
        <v>0</v>
      </c>
      <c r="S43" s="98">
        <v>0</v>
      </c>
      <c r="T43" s="97"/>
      <c r="U43" s="100">
        <f t="shared" si="3"/>
        <v>0</v>
      </c>
      <c r="V43" s="107">
        <f t="shared" si="4"/>
        <v>0</v>
      </c>
      <c r="W43" s="91"/>
      <c r="X43" s="91"/>
      <c r="Y43" s="91"/>
      <c r="Z43" s="91"/>
      <c r="AA43" s="91"/>
      <c r="AB43" s="91"/>
      <c r="AC43" s="91"/>
      <c r="AD43" s="91"/>
    </row>
    <row r="44" spans="1:30" ht="37" customHeight="1" x14ac:dyDescent="0.2">
      <c r="A44" s="91"/>
      <c r="B44" s="86">
        <v>3</v>
      </c>
      <c r="C44" s="209" t="s">
        <v>177</v>
      </c>
      <c r="D44" s="209"/>
      <c r="E44" s="209"/>
      <c r="F44" s="210"/>
      <c r="G44" s="127"/>
      <c r="H44" s="95"/>
      <c r="I44" s="95"/>
      <c r="J44" s="96"/>
      <c r="K44" s="96"/>
      <c r="L44" s="91"/>
      <c r="M44" s="91"/>
      <c r="N44" s="91"/>
      <c r="O44" s="91"/>
      <c r="P44" s="91"/>
      <c r="Q44" s="91"/>
      <c r="R44" s="97">
        <f t="shared" si="0"/>
        <v>0</v>
      </c>
      <c r="S44" s="98">
        <v>0</v>
      </c>
      <c r="T44" s="97"/>
      <c r="U44" s="100">
        <f t="shared" si="3"/>
        <v>0</v>
      </c>
      <c r="V44" s="107">
        <f t="shared" si="4"/>
        <v>0</v>
      </c>
      <c r="W44" s="91"/>
      <c r="X44" s="127"/>
      <c r="Y44" s="127"/>
      <c r="Z44" s="127"/>
      <c r="AA44" s="127"/>
      <c r="AB44" s="127"/>
      <c r="AC44" s="127"/>
      <c r="AD44" s="127"/>
    </row>
    <row r="45" spans="1:30" ht="15" x14ac:dyDescent="0.2">
      <c r="A45" s="91"/>
      <c r="B45" s="92" t="s">
        <v>36</v>
      </c>
      <c r="C45" s="93" t="s">
        <v>179</v>
      </c>
      <c r="D45" s="125"/>
      <c r="E45" s="128"/>
      <c r="F45" s="126"/>
      <c r="G45" s="94">
        <f>SUM(G46)</f>
        <v>3515576</v>
      </c>
      <c r="H45" s="95"/>
      <c r="I45" s="95"/>
      <c r="J45" s="96"/>
      <c r="K45" s="96"/>
      <c r="L45" s="91"/>
      <c r="M45" s="91"/>
      <c r="N45" s="91"/>
      <c r="O45" s="91"/>
      <c r="P45" s="91"/>
      <c r="Q45" s="91"/>
      <c r="R45" s="97">
        <f t="shared" si="0"/>
        <v>4746027.5999999996</v>
      </c>
      <c r="S45" s="98">
        <v>4013894.25</v>
      </c>
      <c r="T45" s="97"/>
      <c r="U45" s="100">
        <f t="shared" si="3"/>
        <v>1107406.44</v>
      </c>
      <c r="V45" s="107"/>
      <c r="W45" s="91"/>
      <c r="X45" s="94"/>
      <c r="Y45" s="94"/>
      <c r="Z45" s="94"/>
      <c r="AA45" s="94"/>
      <c r="AB45" s="94"/>
      <c r="AC45" s="94"/>
      <c r="AD45" s="94">
        <f>G45+Z45+AC45</f>
        <v>3515576</v>
      </c>
    </row>
    <row r="46" spans="1:30" ht="15" x14ac:dyDescent="0.2">
      <c r="A46" s="91">
        <v>120210</v>
      </c>
      <c r="B46" s="101" t="s">
        <v>37</v>
      </c>
      <c r="C46" s="102" t="s">
        <v>178</v>
      </c>
      <c r="D46" s="103" t="s">
        <v>8</v>
      </c>
      <c r="E46" s="104">
        <v>107.81</v>
      </c>
      <c r="F46" s="48">
        <v>32609</v>
      </c>
      <c r="G46" s="106">
        <f t="shared" ref="G46:G62" si="12">ROUND(E46*F46,0)</f>
        <v>3515576</v>
      </c>
      <c r="H46" s="95"/>
      <c r="I46" s="95"/>
      <c r="J46" s="96"/>
      <c r="K46" s="96"/>
      <c r="L46" s="91"/>
      <c r="M46" s="91"/>
      <c r="N46" s="91"/>
      <c r="O46" s="91"/>
      <c r="P46" s="91"/>
      <c r="Q46" s="91"/>
      <c r="R46" s="97">
        <f t="shared" si="0"/>
        <v>4746027.5999999996</v>
      </c>
      <c r="S46" s="98">
        <v>4013894.25</v>
      </c>
      <c r="T46" s="97"/>
      <c r="U46" s="100">
        <f t="shared" si="3"/>
        <v>1107406.44</v>
      </c>
      <c r="V46" s="107">
        <f t="shared" si="4"/>
        <v>4622982.4399999995</v>
      </c>
      <c r="W46" s="91"/>
      <c r="X46" s="106"/>
      <c r="Y46" s="106"/>
      <c r="Z46" s="106"/>
      <c r="AA46" s="106"/>
      <c r="AB46" s="106"/>
      <c r="AC46" s="106"/>
      <c r="AD46" s="108">
        <f t="shared" ref="AD46" si="13">G46+Z46+AC46</f>
        <v>3515576</v>
      </c>
    </row>
    <row r="47" spans="1:30" ht="15" x14ac:dyDescent="0.2">
      <c r="A47" s="91"/>
      <c r="B47" s="92" t="s">
        <v>38</v>
      </c>
      <c r="C47" s="93" t="s">
        <v>180</v>
      </c>
      <c r="D47" s="125"/>
      <c r="E47" s="128"/>
      <c r="F47" s="126"/>
      <c r="G47" s="94">
        <f>SUM(G48)</f>
        <v>3888623</v>
      </c>
      <c r="H47" s="95"/>
      <c r="I47" s="95"/>
      <c r="J47" s="96"/>
      <c r="K47" s="96"/>
      <c r="L47" s="91"/>
      <c r="M47" s="91"/>
      <c r="N47" s="91"/>
      <c r="O47" s="91"/>
      <c r="P47" s="91"/>
      <c r="Q47" s="91"/>
      <c r="R47" s="97">
        <f t="shared" si="0"/>
        <v>5249641.0500000007</v>
      </c>
      <c r="S47" s="98">
        <v>4439819.25</v>
      </c>
      <c r="T47" s="97"/>
      <c r="U47" s="100">
        <f t="shared" si="3"/>
        <v>1224916.2450000001</v>
      </c>
      <c r="V47" s="107"/>
      <c r="W47" s="91"/>
      <c r="X47" s="94"/>
      <c r="Y47" s="94"/>
      <c r="Z47" s="94"/>
      <c r="AA47" s="94"/>
      <c r="AB47" s="94"/>
      <c r="AC47" s="94"/>
      <c r="AD47" s="94">
        <f>G47+Z47+AC47</f>
        <v>3888623</v>
      </c>
    </row>
    <row r="48" spans="1:30" ht="15" x14ac:dyDescent="0.2">
      <c r="A48" s="91">
        <v>120210</v>
      </c>
      <c r="B48" s="101" t="s">
        <v>39</v>
      </c>
      <c r="C48" s="102" t="s">
        <v>181</v>
      </c>
      <c r="D48" s="103" t="s">
        <v>8</v>
      </c>
      <c r="E48" s="109">
        <v>119.25</v>
      </c>
      <c r="F48" s="48">
        <v>32609</v>
      </c>
      <c r="G48" s="106">
        <f t="shared" si="12"/>
        <v>3888623</v>
      </c>
      <c r="H48" s="95"/>
      <c r="I48" s="95"/>
      <c r="J48" s="96"/>
      <c r="K48" s="96"/>
      <c r="L48" s="91"/>
      <c r="M48" s="91"/>
      <c r="N48" s="91"/>
      <c r="O48" s="91"/>
      <c r="P48" s="91"/>
      <c r="Q48" s="91"/>
      <c r="R48" s="97">
        <f t="shared" si="0"/>
        <v>5249641.0500000007</v>
      </c>
      <c r="S48" s="98">
        <v>4439819.25</v>
      </c>
      <c r="T48" s="97"/>
      <c r="U48" s="100">
        <f t="shared" si="3"/>
        <v>1224916.2450000001</v>
      </c>
      <c r="V48" s="107">
        <f t="shared" si="4"/>
        <v>5113539.2450000001</v>
      </c>
      <c r="W48" s="91"/>
      <c r="X48" s="106"/>
      <c r="Y48" s="106"/>
      <c r="Z48" s="106"/>
      <c r="AA48" s="106"/>
      <c r="AB48" s="106"/>
      <c r="AC48" s="106"/>
      <c r="AD48" s="108">
        <f t="shared" ref="AD48" si="14">G48+Z48+AC48</f>
        <v>3888623</v>
      </c>
    </row>
    <row r="49" spans="1:30" ht="15" x14ac:dyDescent="0.2">
      <c r="A49" s="91"/>
      <c r="B49" s="92" t="s">
        <v>194</v>
      </c>
      <c r="C49" s="93" t="s">
        <v>182</v>
      </c>
      <c r="D49" s="125"/>
      <c r="E49" s="128"/>
      <c r="F49" s="126"/>
      <c r="G49" s="94">
        <f>SUM(G50:G57)</f>
        <v>0</v>
      </c>
      <c r="H49" s="95"/>
      <c r="I49" s="95"/>
      <c r="J49" s="96"/>
      <c r="K49" s="96"/>
      <c r="L49" s="91"/>
      <c r="M49" s="91"/>
      <c r="N49" s="91"/>
      <c r="O49" s="91"/>
      <c r="P49" s="91"/>
      <c r="Q49" s="91"/>
      <c r="R49" s="97">
        <f t="shared" si="0"/>
        <v>0</v>
      </c>
      <c r="S49" s="98">
        <v>112815393.30000001</v>
      </c>
      <c r="T49" s="97"/>
      <c r="U49" s="100">
        <f t="shared" si="3"/>
        <v>0</v>
      </c>
      <c r="V49" s="107"/>
      <c r="W49" s="91"/>
      <c r="X49" s="94"/>
      <c r="Y49" s="94"/>
      <c r="Z49" s="94">
        <f>SUM(Z50:Z57)</f>
        <v>75810108</v>
      </c>
      <c r="AA49" s="94"/>
      <c r="AB49" s="94"/>
      <c r="AC49" s="94"/>
      <c r="AD49" s="94">
        <f>G49+Z49+AC49</f>
        <v>75810108</v>
      </c>
    </row>
    <row r="50" spans="1:30" ht="15" x14ac:dyDescent="0.2">
      <c r="A50" s="91">
        <v>120213</v>
      </c>
      <c r="B50" s="101" t="s">
        <v>197</v>
      </c>
      <c r="C50" s="102" t="s">
        <v>950</v>
      </c>
      <c r="D50" s="103" t="s">
        <v>21</v>
      </c>
      <c r="E50" s="109"/>
      <c r="F50" s="48">
        <v>566145</v>
      </c>
      <c r="G50" s="106">
        <f t="shared" si="12"/>
        <v>0</v>
      </c>
      <c r="H50" s="95"/>
      <c r="I50" s="95"/>
      <c r="J50" s="96"/>
      <c r="K50" s="96"/>
      <c r="L50" s="91"/>
      <c r="M50" s="91"/>
      <c r="N50" s="91"/>
      <c r="O50" s="91"/>
      <c r="P50" s="91"/>
      <c r="Q50" s="91"/>
      <c r="R50" s="97">
        <f t="shared" si="0"/>
        <v>0</v>
      </c>
      <c r="S50" s="98">
        <v>20574498.149999999</v>
      </c>
      <c r="T50" s="97"/>
      <c r="U50" s="100">
        <f t="shared" si="3"/>
        <v>0</v>
      </c>
      <c r="V50" s="107">
        <f t="shared" si="4"/>
        <v>0</v>
      </c>
      <c r="W50" s="91"/>
      <c r="X50" s="109">
        <v>23.595000000000006</v>
      </c>
      <c r="Y50" s="48">
        <f>(F50*3.5%)+F50</f>
        <v>585960.07499999995</v>
      </c>
      <c r="Z50" s="106">
        <f t="shared" ref="Z50:Z62" si="15">ROUND(X50*Y50,0)</f>
        <v>13825728</v>
      </c>
      <c r="AA50" s="106"/>
      <c r="AB50" s="106"/>
      <c r="AC50" s="106"/>
      <c r="AD50" s="108">
        <f t="shared" ref="AD50:AD57" si="16">G50+Z50+AC50</f>
        <v>13825728</v>
      </c>
    </row>
    <row r="51" spans="1:30" ht="15" x14ac:dyDescent="0.2">
      <c r="A51" s="91">
        <v>120213</v>
      </c>
      <c r="B51" s="101" t="s">
        <v>198</v>
      </c>
      <c r="C51" s="102" t="s">
        <v>183</v>
      </c>
      <c r="D51" s="103" t="s">
        <v>21</v>
      </c>
      <c r="E51" s="109"/>
      <c r="F51" s="48">
        <v>566145</v>
      </c>
      <c r="G51" s="106">
        <f t="shared" si="12"/>
        <v>0</v>
      </c>
      <c r="H51" s="95"/>
      <c r="I51" s="95"/>
      <c r="J51" s="96"/>
      <c r="K51" s="96"/>
      <c r="L51" s="91"/>
      <c r="M51" s="91"/>
      <c r="N51" s="91"/>
      <c r="O51" s="91"/>
      <c r="P51" s="91"/>
      <c r="Q51" s="91"/>
      <c r="R51" s="97">
        <f t="shared" si="0"/>
        <v>0</v>
      </c>
      <c r="S51" s="98">
        <v>37408178.700000003</v>
      </c>
      <c r="T51" s="97"/>
      <c r="U51" s="100">
        <f t="shared" si="3"/>
        <v>0</v>
      </c>
      <c r="V51" s="107">
        <f t="shared" si="4"/>
        <v>0</v>
      </c>
      <c r="W51" s="91"/>
      <c r="X51" s="109">
        <v>42.900000000000006</v>
      </c>
      <c r="Y51" s="48">
        <f t="shared" ref="Y51:Y62" si="17">(F51*3.5%)+F51</f>
        <v>585960.07499999995</v>
      </c>
      <c r="Z51" s="106">
        <f t="shared" si="15"/>
        <v>25137687</v>
      </c>
      <c r="AA51" s="106"/>
      <c r="AB51" s="106"/>
      <c r="AC51" s="106"/>
      <c r="AD51" s="108">
        <f t="shared" si="16"/>
        <v>25137687</v>
      </c>
    </row>
    <row r="52" spans="1:30" ht="15" x14ac:dyDescent="0.2">
      <c r="A52" s="91">
        <v>120213</v>
      </c>
      <c r="B52" s="101" t="s">
        <v>199</v>
      </c>
      <c r="C52" s="102" t="s">
        <v>184</v>
      </c>
      <c r="D52" s="103" t="s">
        <v>21</v>
      </c>
      <c r="E52" s="109"/>
      <c r="F52" s="48">
        <v>566145</v>
      </c>
      <c r="G52" s="106">
        <f t="shared" si="12"/>
        <v>0</v>
      </c>
      <c r="H52" s="95"/>
      <c r="I52" s="95"/>
      <c r="J52" s="96"/>
      <c r="K52" s="96"/>
      <c r="L52" s="91"/>
      <c r="M52" s="91"/>
      <c r="N52" s="91"/>
      <c r="O52" s="91"/>
      <c r="P52" s="91"/>
      <c r="Q52" s="91"/>
      <c r="R52" s="97">
        <f t="shared" si="0"/>
        <v>0</v>
      </c>
      <c r="S52" s="98">
        <v>33379605.899999999</v>
      </c>
      <c r="T52" s="97"/>
      <c r="U52" s="100">
        <f t="shared" si="3"/>
        <v>0</v>
      </c>
      <c r="V52" s="107">
        <f t="shared" si="4"/>
        <v>0</v>
      </c>
      <c r="W52" s="91"/>
      <c r="X52" s="109">
        <v>38.28</v>
      </c>
      <c r="Y52" s="48">
        <f t="shared" si="17"/>
        <v>585960.07499999995</v>
      </c>
      <c r="Z52" s="106">
        <f t="shared" si="15"/>
        <v>22430552</v>
      </c>
      <c r="AA52" s="106"/>
      <c r="AB52" s="106"/>
      <c r="AC52" s="106"/>
      <c r="AD52" s="108">
        <f t="shared" si="16"/>
        <v>22430552</v>
      </c>
    </row>
    <row r="53" spans="1:30" ht="15" x14ac:dyDescent="0.2">
      <c r="A53" s="91">
        <v>120213</v>
      </c>
      <c r="B53" s="101" t="s">
        <v>200</v>
      </c>
      <c r="C53" s="102" t="s">
        <v>185</v>
      </c>
      <c r="D53" s="103" t="s">
        <v>21</v>
      </c>
      <c r="E53" s="109"/>
      <c r="F53" s="48">
        <v>566145</v>
      </c>
      <c r="G53" s="106">
        <f t="shared" si="12"/>
        <v>0</v>
      </c>
      <c r="H53" s="95"/>
      <c r="I53" s="95"/>
      <c r="J53" s="96"/>
      <c r="K53" s="96"/>
      <c r="L53" s="91"/>
      <c r="M53" s="91"/>
      <c r="N53" s="91"/>
      <c r="O53" s="91"/>
      <c r="P53" s="91"/>
      <c r="Q53" s="91"/>
      <c r="R53" s="97">
        <f t="shared" si="0"/>
        <v>0</v>
      </c>
      <c r="S53" s="98">
        <v>7596737.5500000007</v>
      </c>
      <c r="T53" s="97"/>
      <c r="U53" s="100">
        <f t="shared" si="3"/>
        <v>0</v>
      </c>
      <c r="V53" s="107">
        <f t="shared" si="4"/>
        <v>0</v>
      </c>
      <c r="W53" s="91"/>
      <c r="X53" s="109">
        <v>8.7119999999999997</v>
      </c>
      <c r="Y53" s="48">
        <f t="shared" si="17"/>
        <v>585960.07499999995</v>
      </c>
      <c r="Z53" s="106">
        <f t="shared" si="15"/>
        <v>5104884</v>
      </c>
      <c r="AA53" s="106"/>
      <c r="AB53" s="106"/>
      <c r="AC53" s="106"/>
      <c r="AD53" s="108">
        <f t="shared" si="16"/>
        <v>5104884</v>
      </c>
    </row>
    <row r="54" spans="1:30" ht="15" x14ac:dyDescent="0.2">
      <c r="A54" s="91">
        <v>120213</v>
      </c>
      <c r="B54" s="101" t="s">
        <v>201</v>
      </c>
      <c r="C54" s="102" t="s">
        <v>186</v>
      </c>
      <c r="D54" s="103" t="s">
        <v>21</v>
      </c>
      <c r="E54" s="109"/>
      <c r="F54" s="48">
        <v>566145</v>
      </c>
      <c r="G54" s="106">
        <f t="shared" si="12"/>
        <v>0</v>
      </c>
      <c r="H54" s="95"/>
      <c r="I54" s="95"/>
      <c r="J54" s="96"/>
      <c r="K54" s="96"/>
      <c r="L54" s="91"/>
      <c r="M54" s="91"/>
      <c r="N54" s="91"/>
      <c r="O54" s="91"/>
      <c r="P54" s="91"/>
      <c r="Q54" s="91"/>
      <c r="R54" s="97">
        <f t="shared" si="0"/>
        <v>0</v>
      </c>
      <c r="S54" s="98">
        <v>5386778.0999999996</v>
      </c>
      <c r="T54" s="97"/>
      <c r="U54" s="100">
        <f t="shared" si="3"/>
        <v>0</v>
      </c>
      <c r="V54" s="107">
        <f t="shared" si="4"/>
        <v>0</v>
      </c>
      <c r="W54" s="91"/>
      <c r="X54" s="109">
        <v>6.1776000000000009</v>
      </c>
      <c r="Y54" s="48">
        <f t="shared" si="17"/>
        <v>585960.07499999995</v>
      </c>
      <c r="Z54" s="106">
        <f t="shared" si="15"/>
        <v>3619827</v>
      </c>
      <c r="AA54" s="106"/>
      <c r="AB54" s="106"/>
      <c r="AC54" s="106"/>
      <c r="AD54" s="108">
        <f t="shared" si="16"/>
        <v>3619827</v>
      </c>
    </row>
    <row r="55" spans="1:30" ht="15" x14ac:dyDescent="0.2">
      <c r="A55" s="91">
        <v>120213</v>
      </c>
      <c r="B55" s="101" t="s">
        <v>202</v>
      </c>
      <c r="C55" s="102" t="s">
        <v>187</v>
      </c>
      <c r="D55" s="103" t="s">
        <v>21</v>
      </c>
      <c r="E55" s="109"/>
      <c r="F55" s="48">
        <v>566145</v>
      </c>
      <c r="G55" s="106">
        <f t="shared" si="12"/>
        <v>0</v>
      </c>
      <c r="H55" s="95"/>
      <c r="I55" s="95"/>
      <c r="J55" s="96"/>
      <c r="K55" s="96"/>
      <c r="L55" s="91"/>
      <c r="M55" s="91"/>
      <c r="N55" s="91"/>
      <c r="O55" s="91"/>
      <c r="P55" s="91"/>
      <c r="Q55" s="91"/>
      <c r="R55" s="97">
        <f t="shared" si="0"/>
        <v>0</v>
      </c>
      <c r="S55" s="98">
        <v>2637755.5499999998</v>
      </c>
      <c r="T55" s="97"/>
      <c r="U55" s="100">
        <f t="shared" si="3"/>
        <v>0</v>
      </c>
      <c r="V55" s="107">
        <f t="shared" si="4"/>
        <v>0</v>
      </c>
      <c r="W55" s="91"/>
      <c r="X55" s="109">
        <v>3.0250000000000004</v>
      </c>
      <c r="Y55" s="48">
        <f t="shared" si="17"/>
        <v>585960.07499999995</v>
      </c>
      <c r="Z55" s="106">
        <f t="shared" si="15"/>
        <v>1772529</v>
      </c>
      <c r="AA55" s="106"/>
      <c r="AB55" s="106"/>
      <c r="AC55" s="106"/>
      <c r="AD55" s="108">
        <f t="shared" si="16"/>
        <v>1772529</v>
      </c>
    </row>
    <row r="56" spans="1:30" ht="15" x14ac:dyDescent="0.2">
      <c r="A56" s="91">
        <v>120213</v>
      </c>
      <c r="B56" s="101" t="s">
        <v>203</v>
      </c>
      <c r="C56" s="102" t="s">
        <v>188</v>
      </c>
      <c r="D56" s="103" t="s">
        <v>21</v>
      </c>
      <c r="E56" s="109"/>
      <c r="F56" s="48">
        <v>566145</v>
      </c>
      <c r="G56" s="106">
        <f t="shared" si="12"/>
        <v>0</v>
      </c>
      <c r="H56" s="95"/>
      <c r="I56" s="95"/>
      <c r="J56" s="96"/>
      <c r="K56" s="96"/>
      <c r="L56" s="91"/>
      <c r="M56" s="91"/>
      <c r="N56" s="91"/>
      <c r="O56" s="91"/>
      <c r="P56" s="91"/>
      <c r="Q56" s="91"/>
      <c r="R56" s="97">
        <f t="shared" si="0"/>
        <v>0</v>
      </c>
      <c r="S56" s="98">
        <v>3069389.7</v>
      </c>
      <c r="T56" s="97"/>
      <c r="U56" s="100">
        <f t="shared" si="3"/>
        <v>0</v>
      </c>
      <c r="V56" s="107">
        <f t="shared" si="4"/>
        <v>0</v>
      </c>
      <c r="W56" s="91"/>
      <c r="X56" s="109">
        <v>3.5200000000000005</v>
      </c>
      <c r="Y56" s="48">
        <f t="shared" si="17"/>
        <v>585960.07499999995</v>
      </c>
      <c r="Z56" s="106">
        <f t="shared" si="15"/>
        <v>2062579</v>
      </c>
      <c r="AA56" s="106"/>
      <c r="AB56" s="106"/>
      <c r="AC56" s="106"/>
      <c r="AD56" s="108">
        <f t="shared" si="16"/>
        <v>2062579</v>
      </c>
    </row>
    <row r="57" spans="1:30" ht="15" x14ac:dyDescent="0.2">
      <c r="A57" s="91">
        <v>120213</v>
      </c>
      <c r="B57" s="101" t="s">
        <v>204</v>
      </c>
      <c r="C57" s="102" t="s">
        <v>189</v>
      </c>
      <c r="D57" s="103" t="s">
        <v>21</v>
      </c>
      <c r="E57" s="109"/>
      <c r="F57" s="48">
        <v>566145</v>
      </c>
      <c r="G57" s="106">
        <f t="shared" si="12"/>
        <v>0</v>
      </c>
      <c r="H57" s="95"/>
      <c r="I57" s="95"/>
      <c r="J57" s="96">
        <f>3.1416*(0.2*0.2)</f>
        <v>0.12566400000000003</v>
      </c>
      <c r="K57" s="96"/>
      <c r="L57" s="91">
        <v>7</v>
      </c>
      <c r="M57" s="91">
        <f>J57*L57</f>
        <v>0.87964800000000021</v>
      </c>
      <c r="N57" s="95">
        <f>M57*571000</f>
        <v>502279.00800000015</v>
      </c>
      <c r="O57" s="91"/>
      <c r="P57" s="91"/>
      <c r="Q57" s="91"/>
      <c r="R57" s="97">
        <f t="shared" si="0"/>
        <v>0</v>
      </c>
      <c r="S57" s="98">
        <v>2762449.6500000004</v>
      </c>
      <c r="T57" s="97"/>
      <c r="U57" s="100">
        <f t="shared" si="3"/>
        <v>0</v>
      </c>
      <c r="V57" s="107">
        <f t="shared" si="4"/>
        <v>0</v>
      </c>
      <c r="W57" s="91"/>
      <c r="X57" s="109">
        <v>3.1680000000000006</v>
      </c>
      <c r="Y57" s="48">
        <f t="shared" si="17"/>
        <v>585960.07499999995</v>
      </c>
      <c r="Z57" s="106">
        <f t="shared" si="15"/>
        <v>1856322</v>
      </c>
      <c r="AA57" s="106"/>
      <c r="AB57" s="106"/>
      <c r="AC57" s="106"/>
      <c r="AD57" s="108">
        <f t="shared" si="16"/>
        <v>1856322</v>
      </c>
    </row>
    <row r="58" spans="1:30" ht="15" x14ac:dyDescent="0.2">
      <c r="A58" s="91"/>
      <c r="B58" s="92" t="s">
        <v>195</v>
      </c>
      <c r="C58" s="93" t="s">
        <v>190</v>
      </c>
      <c r="D58" s="125"/>
      <c r="E58" s="128"/>
      <c r="F58" s="126"/>
      <c r="G58" s="94">
        <f>SUM(G59:G60)</f>
        <v>0</v>
      </c>
      <c r="H58" s="95"/>
      <c r="I58" s="95"/>
      <c r="J58" s="96">
        <f>3.1416*(0.3*0.3)</f>
        <v>0.282744</v>
      </c>
      <c r="K58" s="96"/>
      <c r="L58" s="91">
        <v>7</v>
      </c>
      <c r="M58" s="91">
        <f>J58*L58</f>
        <v>1.9792079999999999</v>
      </c>
      <c r="N58" s="95">
        <f>M58*571000</f>
        <v>1130127.7679999999</v>
      </c>
      <c r="O58" s="91"/>
      <c r="P58" s="91"/>
      <c r="Q58" s="91"/>
      <c r="R58" s="97">
        <f t="shared" si="0"/>
        <v>0</v>
      </c>
      <c r="S58" s="98">
        <v>86675562</v>
      </c>
      <c r="T58" s="97"/>
      <c r="U58" s="100">
        <f t="shared" si="3"/>
        <v>0</v>
      </c>
      <c r="V58" s="107"/>
      <c r="W58" s="91"/>
      <c r="X58" s="94"/>
      <c r="Y58" s="94"/>
      <c r="Z58" s="94">
        <f>SUM(Z59:Z60)</f>
        <v>68547810</v>
      </c>
      <c r="AA58" s="94"/>
      <c r="AB58" s="94"/>
      <c r="AC58" s="94"/>
      <c r="AD58" s="94">
        <f>G58+Z58+AC58</f>
        <v>68547810</v>
      </c>
    </row>
    <row r="59" spans="1:30" ht="15" x14ac:dyDescent="0.2">
      <c r="A59" s="91">
        <v>120220</v>
      </c>
      <c r="B59" s="101" t="s">
        <v>205</v>
      </c>
      <c r="C59" s="102" t="s">
        <v>951</v>
      </c>
      <c r="D59" s="103" t="s">
        <v>5</v>
      </c>
      <c r="E59" s="109"/>
      <c r="F59" s="48">
        <v>752611</v>
      </c>
      <c r="G59" s="106">
        <f t="shared" si="12"/>
        <v>0</v>
      </c>
      <c r="H59" s="95"/>
      <c r="I59" s="95"/>
      <c r="J59" s="96"/>
      <c r="K59" s="96"/>
      <c r="L59" s="91"/>
      <c r="M59" s="91"/>
      <c r="N59" s="91"/>
      <c r="O59" s="91"/>
      <c r="P59" s="91"/>
      <c r="Q59" s="91"/>
      <c r="R59" s="97">
        <f t="shared" si="0"/>
        <v>0</v>
      </c>
      <c r="S59" s="98">
        <v>52158740.400000006</v>
      </c>
      <c r="T59" s="97"/>
      <c r="U59" s="100">
        <f t="shared" si="3"/>
        <v>0</v>
      </c>
      <c r="V59" s="107">
        <f t="shared" si="4"/>
        <v>0</v>
      </c>
      <c r="W59" s="91"/>
      <c r="X59" s="109">
        <v>68</v>
      </c>
      <c r="Y59" s="48">
        <f t="shared" si="17"/>
        <v>778952.38500000001</v>
      </c>
      <c r="Z59" s="106">
        <f t="shared" si="15"/>
        <v>52968762</v>
      </c>
      <c r="AA59" s="106"/>
      <c r="AB59" s="106"/>
      <c r="AC59" s="106"/>
      <c r="AD59" s="108">
        <f t="shared" ref="AD59:AD60" si="18">G59+Z59+AC59</f>
        <v>52968762</v>
      </c>
    </row>
    <row r="60" spans="1:30" ht="15" x14ac:dyDescent="0.2">
      <c r="A60" s="91">
        <v>120220</v>
      </c>
      <c r="B60" s="101" t="s">
        <v>206</v>
      </c>
      <c r="C60" s="102" t="s">
        <v>952</v>
      </c>
      <c r="D60" s="103" t="s">
        <v>5</v>
      </c>
      <c r="E60" s="109"/>
      <c r="F60" s="48">
        <v>752611</v>
      </c>
      <c r="G60" s="106">
        <f t="shared" si="12"/>
        <v>0</v>
      </c>
      <c r="H60" s="95"/>
      <c r="I60" s="95"/>
      <c r="J60" s="96"/>
      <c r="K60" s="96"/>
      <c r="L60" s="91"/>
      <c r="M60" s="91"/>
      <c r="N60" s="91"/>
      <c r="O60" s="91"/>
      <c r="P60" s="91"/>
      <c r="Q60" s="91"/>
      <c r="R60" s="97">
        <f t="shared" si="0"/>
        <v>0</v>
      </c>
      <c r="S60" s="98">
        <v>34516821.600000001</v>
      </c>
      <c r="T60" s="97"/>
      <c r="U60" s="100">
        <f t="shared" si="3"/>
        <v>0</v>
      </c>
      <c r="V60" s="107">
        <f t="shared" si="4"/>
        <v>0</v>
      </c>
      <c r="W60" s="91"/>
      <c r="X60" s="109">
        <v>20</v>
      </c>
      <c r="Y60" s="48">
        <f t="shared" si="17"/>
        <v>778952.38500000001</v>
      </c>
      <c r="Z60" s="106">
        <f t="shared" si="15"/>
        <v>15579048</v>
      </c>
      <c r="AA60" s="106"/>
      <c r="AB60" s="106"/>
      <c r="AC60" s="106"/>
      <c r="AD60" s="108">
        <f t="shared" si="18"/>
        <v>15579048</v>
      </c>
    </row>
    <row r="61" spans="1:30" ht="15" x14ac:dyDescent="0.2">
      <c r="A61" s="91"/>
      <c r="B61" s="92" t="s">
        <v>196</v>
      </c>
      <c r="C61" s="93" t="s">
        <v>192</v>
      </c>
      <c r="D61" s="125"/>
      <c r="E61" s="128"/>
      <c r="F61" s="126"/>
      <c r="G61" s="94">
        <f>SUM(G62)</f>
        <v>0</v>
      </c>
      <c r="H61" s="95"/>
      <c r="I61" s="95"/>
      <c r="J61" s="96"/>
      <c r="K61" s="96"/>
      <c r="L61" s="91"/>
      <c r="M61" s="91"/>
      <c r="N61" s="91"/>
      <c r="O61" s="91"/>
      <c r="P61" s="91"/>
      <c r="Q61" s="91"/>
      <c r="R61" s="97">
        <f t="shared" si="0"/>
        <v>0</v>
      </c>
      <c r="S61" s="98">
        <v>66026917.799999997</v>
      </c>
      <c r="T61" s="97"/>
      <c r="U61" s="100">
        <f t="shared" si="3"/>
        <v>0</v>
      </c>
      <c r="V61" s="107"/>
      <c r="W61" s="91"/>
      <c r="X61" s="94"/>
      <c r="Y61" s="94"/>
      <c r="Z61" s="94">
        <f>SUM(Z62)</f>
        <v>55048138</v>
      </c>
      <c r="AA61" s="94"/>
      <c r="AB61" s="94"/>
      <c r="AC61" s="94"/>
      <c r="AD61" s="94">
        <f>G61+Z61+AC61</f>
        <v>55048138</v>
      </c>
    </row>
    <row r="62" spans="1:30" ht="15" x14ac:dyDescent="0.2">
      <c r="A62" s="91">
        <v>120302</v>
      </c>
      <c r="B62" s="101" t="s">
        <v>207</v>
      </c>
      <c r="C62" s="102" t="s">
        <v>826</v>
      </c>
      <c r="D62" s="103" t="s">
        <v>193</v>
      </c>
      <c r="E62" s="109"/>
      <c r="F62" s="48">
        <v>929186</v>
      </c>
      <c r="G62" s="106">
        <f t="shared" si="12"/>
        <v>0</v>
      </c>
      <c r="H62" s="95"/>
      <c r="I62" s="95"/>
      <c r="J62" s="96"/>
      <c r="K62" s="96"/>
      <c r="L62" s="91"/>
      <c r="M62" s="91"/>
      <c r="N62" s="91"/>
      <c r="O62" s="91"/>
      <c r="P62" s="91"/>
      <c r="Q62" s="91"/>
      <c r="R62" s="97">
        <f t="shared" si="0"/>
        <v>0</v>
      </c>
      <c r="S62" s="98">
        <v>66026917.799999997</v>
      </c>
      <c r="T62" s="97"/>
      <c r="U62" s="100">
        <f t="shared" si="3"/>
        <v>0</v>
      </c>
      <c r="V62" s="107">
        <f t="shared" si="4"/>
        <v>0</v>
      </c>
      <c r="W62" s="91"/>
      <c r="X62" s="109">
        <v>57.24</v>
      </c>
      <c r="Y62" s="48">
        <f t="shared" si="17"/>
        <v>961707.51</v>
      </c>
      <c r="Z62" s="106">
        <f t="shared" si="15"/>
        <v>55048138</v>
      </c>
      <c r="AA62" s="106"/>
      <c r="AB62" s="106"/>
      <c r="AC62" s="106"/>
      <c r="AD62" s="108">
        <f t="shared" ref="AD62" si="19">G62+Z62+AC62</f>
        <v>55048138</v>
      </c>
    </row>
    <row r="63" spans="1:30" x14ac:dyDescent="0.2">
      <c r="A63" s="91"/>
      <c r="B63" s="103"/>
      <c r="C63" s="102"/>
      <c r="D63" s="103"/>
      <c r="E63" s="102"/>
      <c r="F63" s="106"/>
      <c r="G63" s="108"/>
      <c r="H63" s="95"/>
      <c r="I63" s="95"/>
      <c r="J63" s="96"/>
      <c r="K63" s="96"/>
      <c r="L63" s="91"/>
      <c r="M63" s="91"/>
      <c r="N63" s="91"/>
      <c r="O63" s="91"/>
      <c r="P63" s="91"/>
      <c r="Q63" s="91"/>
      <c r="R63" s="97">
        <f t="shared" si="0"/>
        <v>0</v>
      </c>
      <c r="S63" s="98">
        <v>0</v>
      </c>
      <c r="T63" s="97"/>
      <c r="U63" s="100">
        <f t="shared" si="3"/>
        <v>0</v>
      </c>
      <c r="V63" s="107">
        <f t="shared" si="4"/>
        <v>0</v>
      </c>
      <c r="W63" s="91"/>
      <c r="X63" s="108"/>
      <c r="Y63" s="108"/>
      <c r="Z63" s="108"/>
      <c r="AA63" s="108"/>
      <c r="AB63" s="108"/>
      <c r="AC63" s="108"/>
      <c r="AD63" s="108"/>
    </row>
    <row r="64" spans="1:30" x14ac:dyDescent="0.2">
      <c r="A64" s="91"/>
      <c r="B64" s="103"/>
      <c r="C64" s="207" t="s">
        <v>208</v>
      </c>
      <c r="D64" s="207"/>
      <c r="E64" s="207"/>
      <c r="F64" s="208"/>
      <c r="G64" s="123">
        <f>G61+G58+G49+G47+G45</f>
        <v>7404199</v>
      </c>
      <c r="H64" s="95"/>
      <c r="I64" s="95"/>
      <c r="J64" s="96"/>
      <c r="K64" s="96"/>
      <c r="L64" s="91"/>
      <c r="M64" s="91"/>
      <c r="N64" s="91"/>
      <c r="O64" s="91"/>
      <c r="P64" s="91"/>
      <c r="Q64" s="91"/>
      <c r="R64" s="121">
        <f t="shared" si="0"/>
        <v>9995668.6499999985</v>
      </c>
      <c r="S64" s="98">
        <v>273971586.60000002</v>
      </c>
      <c r="T64" s="97"/>
      <c r="U64" s="100">
        <f t="shared" si="3"/>
        <v>2332322.6850000001</v>
      </c>
      <c r="V64" s="107"/>
      <c r="W64" s="91"/>
      <c r="X64" s="123"/>
      <c r="Y64" s="123"/>
      <c r="Z64" s="123">
        <f>Z61+Z58+Z49+Z47+Z45</f>
        <v>199406056</v>
      </c>
      <c r="AA64" s="123"/>
      <c r="AB64" s="123"/>
      <c r="AC64" s="123"/>
      <c r="AD64" s="123">
        <f>AD61+AD58+AD49+AD47+AD45</f>
        <v>206810255</v>
      </c>
    </row>
    <row r="65" spans="1:30" x14ac:dyDescent="0.2">
      <c r="A65" s="91"/>
      <c r="B65" s="103"/>
      <c r="C65" s="102"/>
      <c r="D65" s="103"/>
      <c r="E65" s="102"/>
      <c r="F65" s="106"/>
      <c r="G65" s="110"/>
      <c r="H65" s="95"/>
      <c r="I65" s="95"/>
      <c r="J65" s="96"/>
      <c r="K65" s="96"/>
      <c r="L65" s="91"/>
      <c r="M65" s="91"/>
      <c r="N65" s="91"/>
      <c r="O65" s="91"/>
      <c r="P65" s="91"/>
      <c r="Q65" s="91"/>
      <c r="R65" s="97">
        <f t="shared" si="0"/>
        <v>0</v>
      </c>
      <c r="S65" s="98">
        <v>0</v>
      </c>
      <c r="T65" s="97"/>
      <c r="U65" s="100">
        <f t="shared" si="3"/>
        <v>0</v>
      </c>
      <c r="V65" s="107">
        <f t="shared" si="4"/>
        <v>0</v>
      </c>
      <c r="W65" s="91"/>
      <c r="X65" s="91"/>
      <c r="Y65" s="91"/>
      <c r="Z65" s="91"/>
      <c r="AA65" s="91"/>
      <c r="AB65" s="91"/>
      <c r="AC65" s="91"/>
      <c r="AD65" s="91"/>
    </row>
    <row r="66" spans="1:30" ht="30" customHeight="1" x14ac:dyDescent="0.2">
      <c r="A66" s="91"/>
      <c r="B66" s="86">
        <v>4</v>
      </c>
      <c r="C66" s="209" t="s">
        <v>209</v>
      </c>
      <c r="D66" s="209"/>
      <c r="E66" s="209"/>
      <c r="F66" s="210"/>
      <c r="G66" s="124"/>
      <c r="H66" s="95"/>
      <c r="I66" s="95"/>
      <c r="J66" s="96"/>
      <c r="K66" s="96"/>
      <c r="L66" s="91" t="s">
        <v>224</v>
      </c>
      <c r="M66" s="91">
        <f>42.18/(6*2.35)</f>
        <v>2.9914893617021274</v>
      </c>
      <c r="N66" s="91">
        <v>6880</v>
      </c>
      <c r="O66" s="91"/>
      <c r="P66" s="95">
        <f>N66*M66</f>
        <v>20581.446808510638</v>
      </c>
      <c r="Q66" s="91"/>
      <c r="R66" s="97">
        <f t="shared" si="0"/>
        <v>0</v>
      </c>
      <c r="S66" s="98">
        <v>0</v>
      </c>
      <c r="T66" s="97"/>
      <c r="U66" s="100">
        <f t="shared" si="3"/>
        <v>0</v>
      </c>
      <c r="V66" s="107">
        <f t="shared" si="4"/>
        <v>0</v>
      </c>
      <c r="W66" s="91"/>
      <c r="X66" s="124"/>
      <c r="Y66" s="124"/>
      <c r="Z66" s="124"/>
      <c r="AA66" s="124"/>
      <c r="AB66" s="124"/>
      <c r="AC66" s="124"/>
      <c r="AD66" s="124"/>
    </row>
    <row r="67" spans="1:30" ht="45" x14ac:dyDescent="0.2">
      <c r="A67" s="91">
        <v>130703</v>
      </c>
      <c r="B67" s="101" t="s">
        <v>40</v>
      </c>
      <c r="C67" s="102" t="s">
        <v>827</v>
      </c>
      <c r="D67" s="103" t="s">
        <v>8</v>
      </c>
      <c r="E67" s="104"/>
      <c r="F67" s="48">
        <v>136371</v>
      </c>
      <c r="G67" s="106">
        <f t="shared" ref="G67" si="20">ROUND(E67*F67,0)</f>
        <v>0</v>
      </c>
      <c r="H67" s="95"/>
      <c r="I67" s="95"/>
      <c r="J67" s="96"/>
      <c r="K67" s="96"/>
      <c r="L67" s="91">
        <v>130505</v>
      </c>
      <c r="M67" s="91" t="s">
        <v>222</v>
      </c>
      <c r="N67" s="91"/>
      <c r="O67" s="91"/>
      <c r="P67" s="91"/>
      <c r="Q67" s="91">
        <v>58710</v>
      </c>
      <c r="R67" s="97">
        <f t="shared" si="0"/>
        <v>0</v>
      </c>
      <c r="S67" s="98">
        <v>182963294.10000002</v>
      </c>
      <c r="T67" s="97"/>
      <c r="U67" s="100">
        <f t="shared" si="3"/>
        <v>0</v>
      </c>
      <c r="V67" s="107">
        <f t="shared" si="4"/>
        <v>0</v>
      </c>
      <c r="W67" s="91"/>
      <c r="X67" s="104">
        <v>1511</v>
      </c>
      <c r="Y67" s="106">
        <f>(F67*3.5%)+F67</f>
        <v>141143.98499999999</v>
      </c>
      <c r="Z67" s="106">
        <f t="shared" ref="Z67" si="21">ROUND(X67*Y67,0)</f>
        <v>213268561</v>
      </c>
      <c r="AA67" s="106"/>
      <c r="AB67" s="106"/>
      <c r="AC67" s="106"/>
      <c r="AD67" s="108">
        <f>G67+Z67+AC67</f>
        <v>213268561</v>
      </c>
    </row>
    <row r="68" spans="1:30" x14ac:dyDescent="0.2">
      <c r="A68" s="91"/>
      <c r="B68" s="103"/>
      <c r="C68" s="102"/>
      <c r="D68" s="103"/>
      <c r="E68" s="102"/>
      <c r="F68" s="106"/>
      <c r="G68" s="108"/>
      <c r="H68" s="95"/>
      <c r="I68" s="95"/>
      <c r="J68" s="96"/>
      <c r="K68" s="96"/>
      <c r="L68" s="91">
        <v>130811</v>
      </c>
      <c r="M68" s="91" t="s">
        <v>223</v>
      </c>
      <c r="N68" s="91"/>
      <c r="O68" s="91"/>
      <c r="P68" s="91"/>
      <c r="Q68" s="91">
        <v>63680</v>
      </c>
      <c r="R68" s="97">
        <f t="shared" si="0"/>
        <v>0</v>
      </c>
      <c r="S68" s="98">
        <v>0</v>
      </c>
      <c r="T68" s="97"/>
      <c r="U68" s="100">
        <f t="shared" si="3"/>
        <v>0</v>
      </c>
      <c r="V68" s="107">
        <f t="shared" si="4"/>
        <v>0</v>
      </c>
      <c r="W68" s="91"/>
      <c r="X68" s="108"/>
      <c r="Y68" s="108"/>
      <c r="Z68" s="108"/>
      <c r="AA68" s="108"/>
      <c r="AB68" s="108"/>
      <c r="AC68" s="108"/>
      <c r="AD68" s="108"/>
    </row>
    <row r="69" spans="1:30" x14ac:dyDescent="0.2">
      <c r="A69" s="91"/>
      <c r="B69" s="103"/>
      <c r="C69" s="207" t="s">
        <v>210</v>
      </c>
      <c r="D69" s="207"/>
      <c r="E69" s="207"/>
      <c r="F69" s="208"/>
      <c r="G69" s="123">
        <f>SUM(G67:G68)</f>
        <v>0</v>
      </c>
      <c r="H69" s="95"/>
      <c r="I69" s="95"/>
      <c r="J69" s="96"/>
      <c r="K69" s="96"/>
      <c r="L69" s="91"/>
      <c r="M69" s="91"/>
      <c r="N69" s="91"/>
      <c r="O69" s="91"/>
      <c r="P69" s="91"/>
      <c r="Q69" s="91"/>
      <c r="R69" s="121">
        <f t="shared" ref="R69:R132" si="22">(G69*0.3)+G69+(G69*0.05)</f>
        <v>0</v>
      </c>
      <c r="S69" s="98">
        <v>182963294.10000002</v>
      </c>
      <c r="T69" s="97"/>
      <c r="U69" s="100">
        <f t="shared" si="3"/>
        <v>0</v>
      </c>
      <c r="V69" s="107">
        <f t="shared" si="4"/>
        <v>0</v>
      </c>
      <c r="W69" s="91"/>
      <c r="X69" s="123"/>
      <c r="Y69" s="123"/>
      <c r="Z69" s="123">
        <f>SUM(Z67:Z68)</f>
        <v>213268561</v>
      </c>
      <c r="AA69" s="123"/>
      <c r="AB69" s="123"/>
      <c r="AC69" s="123"/>
      <c r="AD69" s="123">
        <f>SUM(AD67:AD68)</f>
        <v>213268561</v>
      </c>
    </row>
    <row r="70" spans="1:30" x14ac:dyDescent="0.2">
      <c r="A70" s="91"/>
      <c r="B70" s="103"/>
      <c r="C70" s="102"/>
      <c r="D70" s="103"/>
      <c r="E70" s="102"/>
      <c r="F70" s="106"/>
      <c r="G70" s="110"/>
      <c r="H70" s="95"/>
      <c r="I70" s="95"/>
      <c r="J70" s="96"/>
      <c r="K70" s="96"/>
      <c r="L70" s="91"/>
      <c r="M70" s="91"/>
      <c r="N70" s="91"/>
      <c r="O70" s="91"/>
      <c r="P70" s="91"/>
      <c r="Q70" s="91"/>
      <c r="R70" s="97">
        <f t="shared" si="22"/>
        <v>0</v>
      </c>
      <c r="S70" s="98">
        <v>0</v>
      </c>
      <c r="T70" s="97"/>
      <c r="U70" s="100">
        <f t="shared" si="3"/>
        <v>0</v>
      </c>
      <c r="V70" s="107">
        <f t="shared" si="4"/>
        <v>0</v>
      </c>
      <c r="W70" s="91"/>
      <c r="X70" s="91"/>
      <c r="Y70" s="91"/>
      <c r="Z70" s="129"/>
      <c r="AA70" s="91"/>
      <c r="AB70" s="91"/>
      <c r="AC70" s="91"/>
      <c r="AD70" s="91"/>
    </row>
    <row r="71" spans="1:30" ht="30" customHeight="1" x14ac:dyDescent="0.2">
      <c r="A71" s="91"/>
      <c r="B71" s="86">
        <v>5</v>
      </c>
      <c r="C71" s="209" t="s">
        <v>211</v>
      </c>
      <c r="D71" s="209"/>
      <c r="E71" s="209"/>
      <c r="F71" s="210"/>
      <c r="G71" s="124"/>
      <c r="H71" s="95"/>
      <c r="I71" s="95"/>
      <c r="J71" s="96"/>
      <c r="K71" s="96"/>
      <c r="L71" s="91"/>
      <c r="M71" s="91"/>
      <c r="N71" s="91"/>
      <c r="O71" s="91"/>
      <c r="P71" s="91"/>
      <c r="Q71" s="91"/>
      <c r="R71" s="97">
        <f t="shared" si="22"/>
        <v>0</v>
      </c>
      <c r="S71" s="98">
        <v>0</v>
      </c>
      <c r="T71" s="97"/>
      <c r="U71" s="100">
        <f t="shared" si="3"/>
        <v>0</v>
      </c>
      <c r="V71" s="107">
        <f t="shared" si="4"/>
        <v>0</v>
      </c>
      <c r="W71" s="91"/>
      <c r="X71" s="124"/>
      <c r="Y71" s="124"/>
      <c r="Z71" s="124"/>
      <c r="AA71" s="124"/>
      <c r="AB71" s="124"/>
      <c r="AC71" s="124"/>
      <c r="AD71" s="124"/>
    </row>
    <row r="72" spans="1:30" ht="15" x14ac:dyDescent="0.2">
      <c r="A72" s="91"/>
      <c r="B72" s="92" t="s">
        <v>110</v>
      </c>
      <c r="C72" s="93" t="s">
        <v>212</v>
      </c>
      <c r="D72" s="125"/>
      <c r="E72" s="128"/>
      <c r="F72" s="126"/>
      <c r="G72" s="94">
        <f>SUM(G73)</f>
        <v>0</v>
      </c>
      <c r="H72" s="95"/>
      <c r="I72" s="95"/>
      <c r="J72" s="96"/>
      <c r="K72" s="96"/>
      <c r="L72" s="91"/>
      <c r="M72" s="91"/>
      <c r="N72" s="91"/>
      <c r="O72" s="91"/>
      <c r="P72" s="91"/>
      <c r="Q72" s="91"/>
      <c r="R72" s="97">
        <f t="shared" si="22"/>
        <v>0</v>
      </c>
      <c r="S72" s="98">
        <v>38016687.150000006</v>
      </c>
      <c r="T72" s="97"/>
      <c r="U72" s="100">
        <f t="shared" si="3"/>
        <v>0</v>
      </c>
      <c r="V72" s="107">
        <f t="shared" si="4"/>
        <v>0</v>
      </c>
      <c r="W72" s="91"/>
      <c r="X72" s="94"/>
      <c r="Y72" s="94"/>
      <c r="Z72" s="94">
        <f>SUM(Z73)</f>
        <v>27298356</v>
      </c>
      <c r="AA72" s="94"/>
      <c r="AB72" s="94"/>
      <c r="AC72" s="94"/>
      <c r="AD72" s="94">
        <f>G72+Z72+AC72</f>
        <v>27298356</v>
      </c>
    </row>
    <row r="73" spans="1:30" ht="15" x14ac:dyDescent="0.2">
      <c r="A73" s="91">
        <v>120101</v>
      </c>
      <c r="B73" s="101" t="s">
        <v>44</v>
      </c>
      <c r="C73" s="102" t="s">
        <v>213</v>
      </c>
      <c r="D73" s="103" t="s">
        <v>89</v>
      </c>
      <c r="E73" s="104"/>
      <c r="F73" s="48">
        <v>6590</v>
      </c>
      <c r="G73" s="106">
        <f t="shared" ref="G73" si="23">ROUND(E73*F73,0)</f>
        <v>0</v>
      </c>
      <c r="H73" s="95"/>
      <c r="I73" s="95"/>
      <c r="J73" s="96"/>
      <c r="K73" s="96"/>
      <c r="L73" s="91"/>
      <c r="M73" s="91"/>
      <c r="N73" s="91"/>
      <c r="O73" s="91"/>
      <c r="P73" s="91"/>
      <c r="Q73" s="91"/>
      <c r="R73" s="97">
        <f t="shared" si="22"/>
        <v>0</v>
      </c>
      <c r="S73" s="98">
        <v>38016687.150000006</v>
      </c>
      <c r="T73" s="97"/>
      <c r="U73" s="100">
        <f t="shared" ref="U73:U136" si="24">+G73*$U$7</f>
        <v>0</v>
      </c>
      <c r="V73" s="107">
        <f t="shared" ref="V73:V135" si="25">+G73+U73</f>
        <v>0</v>
      </c>
      <c r="W73" s="91"/>
      <c r="X73" s="104">
        <v>4002.31</v>
      </c>
      <c r="Y73" s="106">
        <f>(F73*3.5%)+F73</f>
        <v>6820.65</v>
      </c>
      <c r="Z73" s="106">
        <f t="shared" ref="Z73" si="26">ROUND(X73*Y73,0)</f>
        <v>27298356</v>
      </c>
      <c r="AA73" s="106"/>
      <c r="AB73" s="106"/>
      <c r="AC73" s="106"/>
      <c r="AD73" s="108">
        <f>G73+Z73+AC73</f>
        <v>27298356</v>
      </c>
    </row>
    <row r="74" spans="1:30" ht="15" x14ac:dyDescent="0.2">
      <c r="A74" s="91"/>
      <c r="B74" s="92" t="s">
        <v>47</v>
      </c>
      <c r="C74" s="93" t="s">
        <v>211</v>
      </c>
      <c r="D74" s="125"/>
      <c r="E74" s="128"/>
      <c r="F74" s="126"/>
      <c r="G74" s="94">
        <f>SUM(G75:G77)</f>
        <v>0</v>
      </c>
      <c r="H74" s="95"/>
      <c r="I74" s="95"/>
      <c r="J74" s="96"/>
      <c r="K74" s="96"/>
      <c r="L74" s="91"/>
      <c r="M74" s="91"/>
      <c r="N74" s="91"/>
      <c r="O74" s="91"/>
      <c r="P74" s="91"/>
      <c r="Q74" s="91"/>
      <c r="R74" s="97">
        <f t="shared" si="22"/>
        <v>0</v>
      </c>
      <c r="S74" s="98">
        <v>33331494.600000001</v>
      </c>
      <c r="T74" s="97"/>
      <c r="U74" s="100">
        <f t="shared" si="24"/>
        <v>0</v>
      </c>
      <c r="V74" s="107">
        <f t="shared" si="25"/>
        <v>0</v>
      </c>
      <c r="W74" s="91"/>
      <c r="X74" s="94"/>
      <c r="Y74" s="94"/>
      <c r="Z74" s="94">
        <f>SUM(Z75:Z77)</f>
        <v>21292662</v>
      </c>
      <c r="AA74" s="94"/>
      <c r="AB74" s="94"/>
      <c r="AC74" s="94"/>
      <c r="AD74" s="94">
        <f>G74+Z74+AC74</f>
        <v>21292662</v>
      </c>
    </row>
    <row r="75" spans="1:30" ht="15" x14ac:dyDescent="0.2">
      <c r="A75" s="91">
        <v>120401</v>
      </c>
      <c r="B75" s="101" t="s">
        <v>48</v>
      </c>
      <c r="C75" s="102" t="s">
        <v>828</v>
      </c>
      <c r="D75" s="103" t="s">
        <v>21</v>
      </c>
      <c r="E75" s="104"/>
      <c r="F75" s="48">
        <v>873572</v>
      </c>
      <c r="G75" s="106">
        <f t="shared" ref="G75:G77" si="27">ROUND(E75*F75,0)</f>
        <v>0</v>
      </c>
      <c r="H75" s="95"/>
      <c r="I75" s="95"/>
      <c r="J75" s="96"/>
      <c r="K75" s="96"/>
      <c r="L75" s="91"/>
      <c r="M75" s="91"/>
      <c r="N75" s="91"/>
      <c r="O75" s="91"/>
      <c r="P75" s="91"/>
      <c r="Q75" s="91"/>
      <c r="R75" s="97">
        <f t="shared" si="22"/>
        <v>0</v>
      </c>
      <c r="S75" s="98">
        <v>16234065.899999999</v>
      </c>
      <c r="T75" s="97"/>
      <c r="U75" s="100">
        <f t="shared" si="24"/>
        <v>0</v>
      </c>
      <c r="V75" s="107">
        <f t="shared" si="25"/>
        <v>0</v>
      </c>
      <c r="W75" s="91"/>
      <c r="X75" s="104">
        <v>11.47</v>
      </c>
      <c r="Y75" s="106">
        <f>(F75*3.5%)+F75</f>
        <v>904147.02</v>
      </c>
      <c r="Z75" s="106">
        <f t="shared" ref="Z75:Z77" si="28">ROUND(X75*Y75,0)</f>
        <v>10370566</v>
      </c>
      <c r="AA75" s="106"/>
      <c r="AB75" s="106"/>
      <c r="AC75" s="106"/>
      <c r="AD75" s="108">
        <f t="shared" ref="AD75:AD77" si="29">G75+Z75+AC75</f>
        <v>10370566</v>
      </c>
    </row>
    <row r="76" spans="1:30" ht="15" x14ac:dyDescent="0.2">
      <c r="A76" s="91">
        <v>120401</v>
      </c>
      <c r="B76" s="101" t="s">
        <v>49</v>
      </c>
      <c r="C76" s="102" t="s">
        <v>829</v>
      </c>
      <c r="D76" s="103" t="s">
        <v>21</v>
      </c>
      <c r="E76" s="104"/>
      <c r="F76" s="48">
        <v>873572</v>
      </c>
      <c r="G76" s="106">
        <f t="shared" si="27"/>
        <v>0</v>
      </c>
      <c r="H76" s="95"/>
      <c r="I76" s="95"/>
      <c r="J76" s="96"/>
      <c r="K76" s="96"/>
      <c r="L76" s="91"/>
      <c r="M76" s="91"/>
      <c r="N76" s="91"/>
      <c r="O76" s="91"/>
      <c r="P76" s="91"/>
      <c r="Q76" s="91"/>
      <c r="R76" s="97">
        <f t="shared" si="22"/>
        <v>0</v>
      </c>
      <c r="S76" s="98">
        <v>15328241.550000001</v>
      </c>
      <c r="T76" s="97"/>
      <c r="U76" s="100">
        <f t="shared" si="24"/>
        <v>0</v>
      </c>
      <c r="V76" s="107">
        <f t="shared" si="25"/>
        <v>0</v>
      </c>
      <c r="W76" s="91"/>
      <c r="X76" s="104">
        <v>10.83</v>
      </c>
      <c r="Y76" s="106">
        <f t="shared" ref="Y76:Y77" si="30">(F76*3.5%)+F76</f>
        <v>904147.02</v>
      </c>
      <c r="Z76" s="106">
        <f t="shared" si="28"/>
        <v>9791912</v>
      </c>
      <c r="AA76" s="106"/>
      <c r="AB76" s="106"/>
      <c r="AC76" s="106"/>
      <c r="AD76" s="108">
        <f t="shared" si="29"/>
        <v>9791912</v>
      </c>
    </row>
    <row r="77" spans="1:30" ht="15" x14ac:dyDescent="0.2">
      <c r="A77" s="91">
        <v>120401</v>
      </c>
      <c r="B77" s="101" t="s">
        <v>51</v>
      </c>
      <c r="C77" s="102" t="s">
        <v>830</v>
      </c>
      <c r="D77" s="103" t="s">
        <v>21</v>
      </c>
      <c r="E77" s="104"/>
      <c r="F77" s="48">
        <v>873572</v>
      </c>
      <c r="G77" s="106">
        <f t="shared" si="27"/>
        <v>0</v>
      </c>
      <c r="H77" s="95"/>
      <c r="I77" s="95"/>
      <c r="J77" s="96"/>
      <c r="K77" s="96"/>
      <c r="L77" s="91"/>
      <c r="M77" s="91"/>
      <c r="N77" s="91"/>
      <c r="O77" s="91"/>
      <c r="P77" s="91"/>
      <c r="Q77" s="91"/>
      <c r="R77" s="97">
        <f t="shared" si="22"/>
        <v>0</v>
      </c>
      <c r="S77" s="98">
        <v>1769187.15</v>
      </c>
      <c r="T77" s="97"/>
      <c r="U77" s="100">
        <f t="shared" si="24"/>
        <v>0</v>
      </c>
      <c r="V77" s="107">
        <f t="shared" si="25"/>
        <v>0</v>
      </c>
      <c r="W77" s="91"/>
      <c r="X77" s="104">
        <v>1.25</v>
      </c>
      <c r="Y77" s="106">
        <f t="shared" si="30"/>
        <v>904147.02</v>
      </c>
      <c r="Z77" s="106">
        <f t="shared" si="28"/>
        <v>1130184</v>
      </c>
      <c r="AA77" s="106"/>
      <c r="AB77" s="106"/>
      <c r="AC77" s="106"/>
      <c r="AD77" s="108">
        <f t="shared" si="29"/>
        <v>1130184</v>
      </c>
    </row>
    <row r="78" spans="1:30" ht="15" x14ac:dyDescent="0.2">
      <c r="A78" s="91"/>
      <c r="B78" s="92" t="s">
        <v>54</v>
      </c>
      <c r="C78" s="93" t="s">
        <v>217</v>
      </c>
      <c r="D78" s="125"/>
      <c r="E78" s="128"/>
      <c r="F78" s="126"/>
      <c r="G78" s="94">
        <f>SUM(G79)</f>
        <v>0</v>
      </c>
      <c r="H78" s="95"/>
      <c r="I78" s="95"/>
      <c r="J78" s="96"/>
      <c r="K78" s="96"/>
      <c r="L78" s="91"/>
      <c r="M78" s="91"/>
      <c r="N78" s="91"/>
      <c r="O78" s="91"/>
      <c r="P78" s="91"/>
      <c r="Q78" s="91"/>
      <c r="R78" s="97">
        <f t="shared" si="22"/>
        <v>0</v>
      </c>
      <c r="S78" s="98">
        <v>1412586</v>
      </c>
      <c r="T78" s="97"/>
      <c r="U78" s="100">
        <f t="shared" si="24"/>
        <v>0</v>
      </c>
      <c r="V78" s="107">
        <f t="shared" si="25"/>
        <v>0</v>
      </c>
      <c r="W78" s="91"/>
      <c r="X78" s="94"/>
      <c r="Y78" s="94"/>
      <c r="Z78" s="94">
        <f>SUM(Z79)</f>
        <v>957375</v>
      </c>
      <c r="AA78" s="94"/>
      <c r="AB78" s="94"/>
      <c r="AC78" s="94"/>
      <c r="AD78" s="94">
        <f>G78+Z78+AC78</f>
        <v>957375</v>
      </c>
    </row>
    <row r="79" spans="1:30" ht="15" x14ac:dyDescent="0.2">
      <c r="A79" s="91">
        <v>180101</v>
      </c>
      <c r="B79" s="101" t="s">
        <v>56</v>
      </c>
      <c r="C79" s="102" t="s">
        <v>214</v>
      </c>
      <c r="D79" s="103" t="s">
        <v>215</v>
      </c>
      <c r="E79" s="104"/>
      <c r="F79" s="48">
        <v>25000</v>
      </c>
      <c r="G79" s="106">
        <f t="shared" ref="G79" si="31">ROUND(E79*F79,0)</f>
        <v>0</v>
      </c>
      <c r="H79" s="95"/>
      <c r="I79" s="95"/>
      <c r="J79" s="96"/>
      <c r="K79" s="96"/>
      <c r="L79" s="91"/>
      <c r="M79" s="91"/>
      <c r="N79" s="91"/>
      <c r="O79" s="91"/>
      <c r="P79" s="91"/>
      <c r="Q79" s="91"/>
      <c r="R79" s="97">
        <f t="shared" si="22"/>
        <v>0</v>
      </c>
      <c r="S79" s="98">
        <v>1412586</v>
      </c>
      <c r="T79" s="97"/>
      <c r="U79" s="100">
        <f t="shared" si="24"/>
        <v>0</v>
      </c>
      <c r="V79" s="107">
        <f t="shared" si="25"/>
        <v>0</v>
      </c>
      <c r="W79" s="91"/>
      <c r="X79" s="104">
        <v>37</v>
      </c>
      <c r="Y79" s="106">
        <f>(F79*3.5%)+F79</f>
        <v>25875</v>
      </c>
      <c r="Z79" s="106">
        <f t="shared" ref="Z79" si="32">ROUND(X79*Y79,0)</f>
        <v>957375</v>
      </c>
      <c r="AA79" s="106"/>
      <c r="AB79" s="106"/>
      <c r="AC79" s="106"/>
      <c r="AD79" s="108">
        <f>G79+Z79+AC79</f>
        <v>957375</v>
      </c>
    </row>
    <row r="80" spans="1:30" x14ac:dyDescent="0.2">
      <c r="A80" s="91"/>
      <c r="B80" s="103"/>
      <c r="C80" s="207" t="s">
        <v>216</v>
      </c>
      <c r="D80" s="207"/>
      <c r="E80" s="207"/>
      <c r="F80" s="208"/>
      <c r="G80" s="123">
        <f>SUM(G72:G79)/2</f>
        <v>0</v>
      </c>
      <c r="H80" s="95"/>
      <c r="I80" s="95"/>
      <c r="J80" s="96"/>
      <c r="K80" s="96"/>
      <c r="L80" s="91"/>
      <c r="M80" s="91"/>
      <c r="N80" s="91"/>
      <c r="O80" s="91"/>
      <c r="P80" s="91"/>
      <c r="Q80" s="91"/>
      <c r="R80" s="121">
        <f t="shared" si="22"/>
        <v>0</v>
      </c>
      <c r="S80" s="98">
        <v>72760767.75</v>
      </c>
      <c r="T80" s="97"/>
      <c r="U80" s="100">
        <f t="shared" si="24"/>
        <v>0</v>
      </c>
      <c r="V80" s="107">
        <f t="shared" si="25"/>
        <v>0</v>
      </c>
      <c r="W80" s="91"/>
      <c r="X80" s="123"/>
      <c r="Y80" s="123"/>
      <c r="Z80" s="123">
        <f>SUM(Z72:Z79)/2</f>
        <v>49548393</v>
      </c>
      <c r="AA80" s="123"/>
      <c r="AB80" s="123"/>
      <c r="AC80" s="123"/>
      <c r="AD80" s="123">
        <f>SUM(AD72:AD79)/2</f>
        <v>49548393</v>
      </c>
    </row>
    <row r="81" spans="1:30" x14ac:dyDescent="0.2">
      <c r="A81" s="91"/>
      <c r="B81" s="103"/>
      <c r="C81" s="102"/>
      <c r="D81" s="103"/>
      <c r="E81" s="102"/>
      <c r="F81" s="106"/>
      <c r="G81" s="110"/>
      <c r="H81" s="95"/>
      <c r="I81" s="95"/>
      <c r="J81" s="96"/>
      <c r="K81" s="96"/>
      <c r="L81" s="91"/>
      <c r="M81" s="91"/>
      <c r="N81" s="91"/>
      <c r="O81" s="91"/>
      <c r="P81" s="91"/>
      <c r="Q81" s="91"/>
      <c r="R81" s="97">
        <f t="shared" si="22"/>
        <v>0</v>
      </c>
      <c r="S81" s="98">
        <v>0</v>
      </c>
      <c r="T81" s="97"/>
      <c r="U81" s="100">
        <f t="shared" si="24"/>
        <v>0</v>
      </c>
      <c r="V81" s="107">
        <f t="shared" si="25"/>
        <v>0</v>
      </c>
      <c r="W81" s="91"/>
      <c r="X81" s="91"/>
      <c r="Y81" s="91"/>
      <c r="Z81" s="91"/>
      <c r="AA81" s="91"/>
      <c r="AB81" s="91"/>
      <c r="AC81" s="91"/>
      <c r="AD81" s="91"/>
    </row>
    <row r="82" spans="1:30" ht="30" customHeight="1" x14ac:dyDescent="0.2">
      <c r="A82" s="91"/>
      <c r="B82" s="86">
        <v>6</v>
      </c>
      <c r="C82" s="209" t="s">
        <v>218</v>
      </c>
      <c r="D82" s="209"/>
      <c r="E82" s="209"/>
      <c r="F82" s="210"/>
      <c r="G82" s="124"/>
      <c r="H82" s="95"/>
      <c r="I82" s="95"/>
      <c r="J82" s="96"/>
      <c r="K82" s="96"/>
      <c r="L82" s="91"/>
      <c r="M82" s="91"/>
      <c r="N82" s="91"/>
      <c r="O82" s="91"/>
      <c r="P82" s="91"/>
      <c r="Q82" s="91"/>
      <c r="R82" s="97">
        <f t="shared" si="22"/>
        <v>0</v>
      </c>
      <c r="S82" s="98">
        <v>0</v>
      </c>
      <c r="T82" s="97"/>
      <c r="U82" s="100">
        <f t="shared" si="24"/>
        <v>0</v>
      </c>
      <c r="V82" s="107">
        <f t="shared" si="25"/>
        <v>0</v>
      </c>
      <c r="W82" s="91"/>
      <c r="X82" s="124"/>
      <c r="Y82" s="124"/>
      <c r="Z82" s="124"/>
      <c r="AA82" s="124"/>
      <c r="AB82" s="124"/>
      <c r="AC82" s="124"/>
      <c r="AD82" s="124"/>
    </row>
    <row r="83" spans="1:30" ht="15" x14ac:dyDescent="0.2">
      <c r="A83" s="91"/>
      <c r="B83" s="92" t="s">
        <v>62</v>
      </c>
      <c r="C83" s="93" t="s">
        <v>212</v>
      </c>
      <c r="D83" s="125"/>
      <c r="E83" s="128"/>
      <c r="F83" s="126"/>
      <c r="G83" s="94">
        <f>SUM(G84:G85)</f>
        <v>1362333871</v>
      </c>
      <c r="H83" s="95"/>
      <c r="I83" s="95"/>
      <c r="J83" s="96"/>
      <c r="K83" s="96"/>
      <c r="L83" s="91"/>
      <c r="M83" s="91"/>
      <c r="N83" s="91"/>
      <c r="O83" s="91"/>
      <c r="P83" s="91"/>
      <c r="Q83" s="91"/>
      <c r="R83" s="97">
        <f t="shared" si="22"/>
        <v>1839150725.8499999</v>
      </c>
      <c r="S83" s="98">
        <v>2380168415.25</v>
      </c>
      <c r="T83" s="97"/>
      <c r="U83" s="100">
        <f t="shared" si="24"/>
        <v>429135169.36500001</v>
      </c>
      <c r="V83" s="107"/>
      <c r="W83" s="91"/>
      <c r="X83" s="94"/>
      <c r="Y83" s="94"/>
      <c r="Z83" s="94">
        <f>SUM(Z84:Z85)</f>
        <v>1929404868</v>
      </c>
      <c r="AA83" s="94"/>
      <c r="AB83" s="94"/>
      <c r="AC83" s="94">
        <f>SUM(AC84:AC85)</f>
        <v>0</v>
      </c>
      <c r="AD83" s="94">
        <f>G83+Z83+AC83</f>
        <v>3291738739</v>
      </c>
    </row>
    <row r="84" spans="1:30" ht="15" x14ac:dyDescent="0.2">
      <c r="A84" s="91">
        <v>130808</v>
      </c>
      <c r="B84" s="101" t="s">
        <v>219</v>
      </c>
      <c r="C84" s="102" t="s">
        <v>961</v>
      </c>
      <c r="D84" s="103" t="s">
        <v>8</v>
      </c>
      <c r="E84" s="130">
        <v>756.00130000000001</v>
      </c>
      <c r="F84" s="48">
        <v>74504</v>
      </c>
      <c r="G84" s="106">
        <f t="shared" ref="G84:G85" si="33">ROUND(E84*F84,0)</f>
        <v>56325121</v>
      </c>
      <c r="H84" s="95"/>
      <c r="I84" s="95"/>
      <c r="J84" s="96"/>
      <c r="K84" s="96"/>
      <c r="L84" s="91"/>
      <c r="M84" s="91"/>
      <c r="N84" s="91"/>
      <c r="O84" s="91"/>
      <c r="P84" s="91"/>
      <c r="Q84" s="91"/>
      <c r="R84" s="97">
        <f t="shared" si="22"/>
        <v>76038913.349999994</v>
      </c>
      <c r="S84" s="98">
        <v>146940219.44999999</v>
      </c>
      <c r="T84" s="97"/>
      <c r="U84" s="100">
        <f t="shared" si="24"/>
        <v>17742413.114999998</v>
      </c>
      <c r="V84" s="107">
        <f t="shared" si="25"/>
        <v>74067534.114999995</v>
      </c>
      <c r="W84" s="91"/>
      <c r="X84" s="131">
        <v>754.99869999999999</v>
      </c>
      <c r="Y84" s="106">
        <f>(F84*3.5%)+F84</f>
        <v>77111.64</v>
      </c>
      <c r="Z84" s="106">
        <f t="shared" ref="Z84:Z85" si="34">ROUND(X84*Y84,0)</f>
        <v>58219188</v>
      </c>
      <c r="AA84" s="132"/>
      <c r="AB84" s="106"/>
      <c r="AC84" s="106">
        <f>ROUND(AA84*AB84,0)</f>
        <v>0</v>
      </c>
      <c r="AD84" s="106"/>
    </row>
    <row r="85" spans="1:30" ht="15" x14ac:dyDescent="0.2">
      <c r="A85" s="91">
        <v>130801</v>
      </c>
      <c r="B85" s="101" t="s">
        <v>220</v>
      </c>
      <c r="C85" s="102" t="s">
        <v>831</v>
      </c>
      <c r="D85" s="103" t="s">
        <v>89</v>
      </c>
      <c r="E85" s="133">
        <f>66629.5+4500</f>
        <v>71129.5</v>
      </c>
      <c r="F85" s="48">
        <v>18361</v>
      </c>
      <c r="G85" s="106">
        <f t="shared" si="33"/>
        <v>1306008750</v>
      </c>
      <c r="H85" s="95"/>
      <c r="I85" s="95"/>
      <c r="J85" s="96"/>
      <c r="K85" s="96"/>
      <c r="L85" s="91"/>
      <c r="M85" s="91"/>
      <c r="N85" s="91"/>
      <c r="O85" s="91"/>
      <c r="P85" s="91"/>
      <c r="Q85" s="91"/>
      <c r="R85" s="97">
        <f t="shared" si="22"/>
        <v>1763111812.5</v>
      </c>
      <c r="S85" s="98">
        <v>2233228195.8000002</v>
      </c>
      <c r="T85" s="97"/>
      <c r="U85" s="100">
        <f t="shared" si="24"/>
        <v>411392756.25</v>
      </c>
      <c r="V85" s="107">
        <f t="shared" si="25"/>
        <v>1717401506.25</v>
      </c>
      <c r="W85" s="91"/>
      <c r="X85" s="134">
        <f>72764.8+4686.33+513.049+0.44+20500</f>
        <v>98464.619000000006</v>
      </c>
      <c r="Y85" s="106">
        <f>(F85*3.5%)+F85</f>
        <v>19003.634999999998</v>
      </c>
      <c r="Z85" s="106">
        <f t="shared" si="34"/>
        <v>1871185680</v>
      </c>
      <c r="AA85" s="106"/>
      <c r="AB85" s="106"/>
      <c r="AC85" s="106">
        <f>ROUND(AA85*AB85,0)</f>
        <v>0</v>
      </c>
      <c r="AD85" s="106"/>
    </row>
    <row r="86" spans="1:30" x14ac:dyDescent="0.2">
      <c r="A86" s="91"/>
      <c r="B86" s="103"/>
      <c r="C86" s="207" t="s">
        <v>221</v>
      </c>
      <c r="D86" s="207"/>
      <c r="E86" s="207"/>
      <c r="F86" s="208"/>
      <c r="G86" s="123">
        <f>G83</f>
        <v>1362333871</v>
      </c>
      <c r="H86" s="95"/>
      <c r="I86" s="95"/>
      <c r="J86" s="96"/>
      <c r="K86" s="96"/>
      <c r="L86" s="91"/>
      <c r="M86" s="91"/>
      <c r="N86" s="91"/>
      <c r="O86" s="91"/>
      <c r="P86" s="91"/>
      <c r="Q86" s="91"/>
      <c r="R86" s="121">
        <f>(G86*0.3)+G86+(G86*0.05)</f>
        <v>1839150725.8499999</v>
      </c>
      <c r="S86" s="98">
        <v>2380168415.25</v>
      </c>
      <c r="T86" s="97"/>
      <c r="U86" s="100">
        <f>+G86*$U$7</f>
        <v>429135169.36500001</v>
      </c>
      <c r="V86" s="107"/>
      <c r="W86" s="91"/>
      <c r="X86" s="123"/>
      <c r="Y86" s="123"/>
      <c r="Z86" s="123">
        <f>Z83</f>
        <v>1929404868</v>
      </c>
      <c r="AA86" s="123"/>
      <c r="AB86" s="123"/>
      <c r="AC86" s="123">
        <f>AC83</f>
        <v>0</v>
      </c>
      <c r="AD86" s="123">
        <f>AD83</f>
        <v>3291738739</v>
      </c>
    </row>
    <row r="87" spans="1:30" x14ac:dyDescent="0.2">
      <c r="A87" s="91"/>
      <c r="B87" s="101"/>
      <c r="C87" s="102"/>
      <c r="D87" s="103"/>
      <c r="E87" s="104"/>
      <c r="F87" s="48"/>
      <c r="G87" s="106"/>
      <c r="H87" s="95"/>
      <c r="I87" s="95"/>
      <c r="J87" s="96"/>
      <c r="K87" s="96"/>
      <c r="L87" s="91"/>
      <c r="M87" s="91"/>
      <c r="N87" s="91"/>
      <c r="O87" s="91"/>
      <c r="P87" s="91"/>
      <c r="Q87" s="91"/>
      <c r="R87" s="97"/>
      <c r="S87" s="98"/>
      <c r="T87" s="97"/>
      <c r="U87" s="100"/>
      <c r="V87" s="107"/>
      <c r="W87" s="91"/>
      <c r="X87" s="135"/>
      <c r="Y87" s="135"/>
      <c r="Z87" s="91"/>
      <c r="AA87" s="129"/>
      <c r="AB87" s="136"/>
      <c r="AC87" s="91"/>
      <c r="AD87" s="91"/>
    </row>
    <row r="88" spans="1:30" ht="30" customHeight="1" x14ac:dyDescent="0.2">
      <c r="A88" s="91"/>
      <c r="B88" s="86">
        <v>7</v>
      </c>
      <c r="C88" s="137" t="s">
        <v>42</v>
      </c>
      <c r="D88" s="138"/>
      <c r="E88" s="139"/>
      <c r="F88" s="124"/>
      <c r="G88" s="124"/>
      <c r="H88" s="95"/>
      <c r="I88" s="95"/>
      <c r="J88" s="96"/>
      <c r="K88" s="96"/>
      <c r="L88" s="91"/>
      <c r="M88" s="91"/>
      <c r="N88" s="91"/>
      <c r="O88" s="91"/>
      <c r="P88" s="91"/>
      <c r="Q88" s="91"/>
      <c r="R88" s="97">
        <f t="shared" si="22"/>
        <v>0</v>
      </c>
      <c r="S88" s="98">
        <v>0</v>
      </c>
      <c r="T88" s="97"/>
      <c r="U88" s="100">
        <f t="shared" si="24"/>
        <v>0</v>
      </c>
      <c r="V88" s="107">
        <f t="shared" si="25"/>
        <v>0</v>
      </c>
      <c r="W88" s="91"/>
      <c r="X88" s="124"/>
      <c r="Y88" s="124"/>
      <c r="Z88" s="124"/>
      <c r="AA88" s="124"/>
      <c r="AB88" s="124"/>
      <c r="AC88" s="124"/>
      <c r="AD88" s="124"/>
    </row>
    <row r="89" spans="1:30" ht="15" x14ac:dyDescent="0.2">
      <c r="A89" s="91"/>
      <c r="B89" s="92" t="s">
        <v>67</v>
      </c>
      <c r="C89" s="93" t="s">
        <v>43</v>
      </c>
      <c r="D89" s="125"/>
      <c r="E89" s="128"/>
      <c r="F89" s="126"/>
      <c r="G89" s="94">
        <f>SUM(G90:G95)</f>
        <v>0</v>
      </c>
      <c r="H89" s="95"/>
      <c r="I89" s="95"/>
      <c r="J89" s="96"/>
      <c r="K89" s="96"/>
      <c r="L89" s="91"/>
      <c r="M89" s="91"/>
      <c r="N89" s="91"/>
      <c r="O89" s="91"/>
      <c r="P89" s="91"/>
      <c r="Q89" s="91"/>
      <c r="R89" s="97">
        <f t="shared" si="22"/>
        <v>0</v>
      </c>
      <c r="S89" s="98">
        <v>321176383.07722104</v>
      </c>
      <c r="T89" s="97"/>
      <c r="U89" s="100">
        <f t="shared" si="24"/>
        <v>0</v>
      </c>
      <c r="V89" s="107"/>
      <c r="W89" s="91"/>
      <c r="X89" s="94"/>
      <c r="Y89" s="94"/>
      <c r="Z89" s="94">
        <f>SUM(Z90:Z95)</f>
        <v>262822654</v>
      </c>
      <c r="AA89" s="94"/>
      <c r="AB89" s="94"/>
      <c r="AC89" s="94"/>
      <c r="AD89" s="94">
        <f>G89+Z89+AC89</f>
        <v>262822654</v>
      </c>
    </row>
    <row r="90" spans="1:30" ht="15" x14ac:dyDescent="0.2">
      <c r="A90" s="91">
        <v>140239</v>
      </c>
      <c r="B90" s="101" t="s">
        <v>640</v>
      </c>
      <c r="C90" s="102" t="s">
        <v>962</v>
      </c>
      <c r="D90" s="103" t="s">
        <v>8</v>
      </c>
      <c r="E90" s="104"/>
      <c r="F90" s="48">
        <v>47071</v>
      </c>
      <c r="G90" s="106">
        <f t="shared" ref="G90:G116" si="35">ROUND(E90*F90,0)</f>
        <v>0</v>
      </c>
      <c r="H90" s="95"/>
      <c r="I90" s="95"/>
      <c r="J90" s="96"/>
      <c r="K90" s="96"/>
      <c r="L90" s="91"/>
      <c r="M90" s="91"/>
      <c r="N90" s="91"/>
      <c r="O90" s="91"/>
      <c r="P90" s="91"/>
      <c r="Q90" s="91"/>
      <c r="R90" s="97">
        <f t="shared" si="22"/>
        <v>0</v>
      </c>
      <c r="S90" s="98">
        <v>129103965.44999999</v>
      </c>
      <c r="T90" s="97"/>
      <c r="U90" s="100">
        <f t="shared" si="24"/>
        <v>0</v>
      </c>
      <c r="V90" s="107">
        <f t="shared" si="25"/>
        <v>0</v>
      </c>
      <c r="W90" s="91"/>
      <c r="X90" s="104">
        <v>1737.0210000000002</v>
      </c>
      <c r="Y90" s="106">
        <f t="shared" ref="Y90:Y95" si="36">(F90*3.5%)+F90</f>
        <v>48718.485000000001</v>
      </c>
      <c r="Z90" s="106">
        <f t="shared" ref="Z90:Z95" si="37">ROUND(X90*Y90,0)</f>
        <v>84625032</v>
      </c>
      <c r="AA90" s="106"/>
      <c r="AB90" s="106"/>
      <c r="AC90" s="106"/>
      <c r="AD90" s="108">
        <f t="shared" ref="AD90:AD95" si="38">G90+Z90+AC90</f>
        <v>84625032</v>
      </c>
    </row>
    <row r="91" spans="1:30" ht="15" x14ac:dyDescent="0.2">
      <c r="A91" s="91">
        <v>240437</v>
      </c>
      <c r="B91" s="101" t="s">
        <v>641</v>
      </c>
      <c r="C91" s="102" t="s">
        <v>45</v>
      </c>
      <c r="D91" s="103" t="s">
        <v>8</v>
      </c>
      <c r="E91" s="104"/>
      <c r="F91" s="48">
        <v>38827</v>
      </c>
      <c r="G91" s="106">
        <f t="shared" si="35"/>
        <v>0</v>
      </c>
      <c r="H91" s="95"/>
      <c r="I91" s="95"/>
      <c r="J91" s="96"/>
      <c r="K91" s="96"/>
      <c r="L91" s="91"/>
      <c r="M91" s="91"/>
      <c r="N91" s="91"/>
      <c r="O91" s="91"/>
      <c r="P91" s="91"/>
      <c r="Q91" s="91"/>
      <c r="R91" s="97">
        <f t="shared" si="22"/>
        <v>0</v>
      </c>
      <c r="S91" s="98">
        <v>47769957.900000006</v>
      </c>
      <c r="T91" s="97"/>
      <c r="U91" s="100">
        <f t="shared" si="24"/>
        <v>0</v>
      </c>
      <c r="V91" s="107">
        <f t="shared" si="25"/>
        <v>0</v>
      </c>
      <c r="W91" s="91"/>
      <c r="X91" s="104">
        <v>992.10520000000042</v>
      </c>
      <c r="Y91" s="106">
        <f t="shared" si="36"/>
        <v>40185.945</v>
      </c>
      <c r="Z91" s="106">
        <f t="shared" si="37"/>
        <v>39868685</v>
      </c>
      <c r="AA91" s="106"/>
      <c r="AB91" s="106"/>
      <c r="AC91" s="106"/>
      <c r="AD91" s="108">
        <f t="shared" si="38"/>
        <v>39868685</v>
      </c>
    </row>
    <row r="92" spans="1:30" ht="15" x14ac:dyDescent="0.2">
      <c r="A92" s="91">
        <v>240431</v>
      </c>
      <c r="B92" s="101" t="s">
        <v>642</v>
      </c>
      <c r="C92" s="102" t="s">
        <v>46</v>
      </c>
      <c r="D92" s="103" t="s">
        <v>8</v>
      </c>
      <c r="E92" s="104"/>
      <c r="F92" s="48">
        <v>142179</v>
      </c>
      <c r="G92" s="106">
        <f t="shared" si="35"/>
        <v>0</v>
      </c>
      <c r="H92" s="95"/>
      <c r="I92" s="95"/>
      <c r="J92" s="96"/>
      <c r="K92" s="96"/>
      <c r="L92" s="91"/>
      <c r="M92" s="91"/>
      <c r="N92" s="91"/>
      <c r="O92" s="91"/>
      <c r="P92" s="91"/>
      <c r="Q92" s="91"/>
      <c r="R92" s="97">
        <f t="shared" si="22"/>
        <v>0</v>
      </c>
      <c r="S92" s="98">
        <v>114233954.40000001</v>
      </c>
      <c r="T92" s="97"/>
      <c r="U92" s="100">
        <f t="shared" si="24"/>
        <v>0</v>
      </c>
      <c r="V92" s="107">
        <f t="shared" si="25"/>
        <v>0</v>
      </c>
      <c r="W92" s="91"/>
      <c r="X92" s="104">
        <v>717.81520000000057</v>
      </c>
      <c r="Y92" s="106">
        <f t="shared" si="36"/>
        <v>147155.26500000001</v>
      </c>
      <c r="Z92" s="106">
        <f t="shared" si="37"/>
        <v>105630286</v>
      </c>
      <c r="AA92" s="106"/>
      <c r="AB92" s="106"/>
      <c r="AC92" s="106"/>
      <c r="AD92" s="108">
        <f t="shared" si="38"/>
        <v>105630286</v>
      </c>
    </row>
    <row r="93" spans="1:30" ht="15" x14ac:dyDescent="0.2">
      <c r="A93" s="91">
        <v>130110</v>
      </c>
      <c r="B93" s="101" t="s">
        <v>643</v>
      </c>
      <c r="C93" s="102" t="s">
        <v>114</v>
      </c>
      <c r="D93" s="103" t="s">
        <v>11</v>
      </c>
      <c r="E93" s="104"/>
      <c r="F93" s="48">
        <v>6277</v>
      </c>
      <c r="G93" s="106">
        <f t="shared" si="35"/>
        <v>0</v>
      </c>
      <c r="H93" s="95"/>
      <c r="I93" s="95"/>
      <c r="J93" s="96"/>
      <c r="K93" s="96"/>
      <c r="L93" s="91"/>
      <c r="M93" s="91"/>
      <c r="N93" s="91"/>
      <c r="O93" s="91"/>
      <c r="P93" s="91"/>
      <c r="Q93" s="91"/>
      <c r="R93" s="97">
        <f t="shared" si="22"/>
        <v>0</v>
      </c>
      <c r="S93" s="98">
        <v>8655981.5573810562</v>
      </c>
      <c r="T93" s="97"/>
      <c r="U93" s="100">
        <f t="shared" si="24"/>
        <v>0</v>
      </c>
      <c r="V93" s="107">
        <f t="shared" si="25"/>
        <v>0</v>
      </c>
      <c r="W93" s="91"/>
      <c r="X93" s="104">
        <v>2285.5539473684216</v>
      </c>
      <c r="Y93" s="106">
        <f t="shared" si="36"/>
        <v>6496.6949999999997</v>
      </c>
      <c r="Z93" s="106">
        <f t="shared" si="37"/>
        <v>14848547</v>
      </c>
      <c r="AA93" s="106"/>
      <c r="AB93" s="106"/>
      <c r="AC93" s="106"/>
      <c r="AD93" s="108">
        <f t="shared" si="38"/>
        <v>14848547</v>
      </c>
    </row>
    <row r="94" spans="1:30" ht="15" x14ac:dyDescent="0.2">
      <c r="A94" s="91"/>
      <c r="B94" s="101" t="s">
        <v>644</v>
      </c>
      <c r="C94" s="102" t="s">
        <v>257</v>
      </c>
      <c r="D94" s="103" t="s">
        <v>11</v>
      </c>
      <c r="E94" s="104"/>
      <c r="F94" s="48">
        <v>15000</v>
      </c>
      <c r="G94" s="106">
        <f t="shared" si="35"/>
        <v>0</v>
      </c>
      <c r="H94" s="95"/>
      <c r="I94" s="95"/>
      <c r="J94" s="96"/>
      <c r="K94" s="96"/>
      <c r="L94" s="91"/>
      <c r="M94" s="91"/>
      <c r="N94" s="91"/>
      <c r="O94" s="91"/>
      <c r="P94" s="91"/>
      <c r="Q94" s="91"/>
      <c r="R94" s="97">
        <f t="shared" si="22"/>
        <v>0</v>
      </c>
      <c r="S94" s="98">
        <v>6308532.7199999997</v>
      </c>
      <c r="T94" s="97"/>
      <c r="U94" s="100">
        <f t="shared" si="24"/>
        <v>0</v>
      </c>
      <c r="V94" s="107">
        <f t="shared" si="25"/>
        <v>0</v>
      </c>
      <c r="W94" s="91"/>
      <c r="X94" s="104">
        <v>275.39999999999998</v>
      </c>
      <c r="Y94" s="106">
        <f t="shared" si="36"/>
        <v>15525</v>
      </c>
      <c r="Z94" s="106">
        <f t="shared" si="37"/>
        <v>4275585</v>
      </c>
      <c r="AA94" s="106"/>
      <c r="AB94" s="106"/>
      <c r="AC94" s="106"/>
      <c r="AD94" s="108">
        <f t="shared" si="38"/>
        <v>4275585</v>
      </c>
    </row>
    <row r="95" spans="1:30" ht="15" x14ac:dyDescent="0.2">
      <c r="A95" s="91">
        <v>140304</v>
      </c>
      <c r="B95" s="101" t="s">
        <v>806</v>
      </c>
      <c r="C95" s="102" t="s">
        <v>807</v>
      </c>
      <c r="D95" s="103" t="s">
        <v>11</v>
      </c>
      <c r="E95" s="104"/>
      <c r="F95" s="48">
        <v>84802</v>
      </c>
      <c r="G95" s="106">
        <f t="shared" si="35"/>
        <v>0</v>
      </c>
      <c r="H95" s="95"/>
      <c r="I95" s="95"/>
      <c r="J95" s="96"/>
      <c r="K95" s="96"/>
      <c r="L95" s="91"/>
      <c r="M95" s="91"/>
      <c r="N95" s="91"/>
      <c r="O95" s="91"/>
      <c r="P95" s="91"/>
      <c r="Q95" s="91"/>
      <c r="R95" s="97">
        <f t="shared" si="22"/>
        <v>0</v>
      </c>
      <c r="S95" s="98">
        <v>15103991.049840001</v>
      </c>
      <c r="T95" s="97"/>
      <c r="U95" s="100">
        <f t="shared" si="24"/>
        <v>0</v>
      </c>
      <c r="V95" s="107">
        <f t="shared" si="25"/>
        <v>0</v>
      </c>
      <c r="W95" s="91"/>
      <c r="X95" s="104">
        <v>154.66</v>
      </c>
      <c r="Y95" s="106">
        <f t="shared" si="36"/>
        <v>87770.07</v>
      </c>
      <c r="Z95" s="106">
        <f t="shared" si="37"/>
        <v>13574519</v>
      </c>
      <c r="AA95" s="106"/>
      <c r="AB95" s="106"/>
      <c r="AC95" s="106"/>
      <c r="AD95" s="108">
        <f t="shared" si="38"/>
        <v>13574519</v>
      </c>
    </row>
    <row r="96" spans="1:30" x14ac:dyDescent="0.2">
      <c r="A96" s="91"/>
      <c r="B96" s="103"/>
      <c r="C96" s="102"/>
      <c r="D96" s="103"/>
      <c r="E96" s="102"/>
      <c r="F96" s="106"/>
      <c r="G96" s="110"/>
      <c r="H96" s="95"/>
      <c r="I96" s="95"/>
      <c r="J96" s="96"/>
      <c r="K96" s="96"/>
      <c r="L96" s="91"/>
      <c r="M96" s="91"/>
      <c r="N96" s="91"/>
      <c r="O96" s="91"/>
      <c r="P96" s="91"/>
      <c r="Q96" s="91"/>
      <c r="R96" s="97">
        <f t="shared" si="22"/>
        <v>0</v>
      </c>
      <c r="S96" s="98">
        <v>0</v>
      </c>
      <c r="T96" s="97"/>
      <c r="U96" s="100">
        <f t="shared" si="24"/>
        <v>0</v>
      </c>
      <c r="V96" s="107">
        <f t="shared" si="25"/>
        <v>0</v>
      </c>
      <c r="W96" s="91"/>
      <c r="X96" s="110"/>
      <c r="Y96" s="110"/>
      <c r="Z96" s="110"/>
      <c r="AA96" s="110"/>
      <c r="AB96" s="110"/>
      <c r="AC96" s="110"/>
      <c r="AD96" s="110"/>
    </row>
    <row r="97" spans="1:30" ht="15" x14ac:dyDescent="0.2">
      <c r="A97" s="91"/>
      <c r="B97" s="111" t="s">
        <v>645</v>
      </c>
      <c r="C97" s="93" t="s">
        <v>260</v>
      </c>
      <c r="D97" s="125"/>
      <c r="E97" s="140"/>
      <c r="F97" s="126"/>
      <c r="G97" s="94">
        <f>SUM(G98:G102)</f>
        <v>0</v>
      </c>
      <c r="H97" s="95"/>
      <c r="I97" s="95"/>
      <c r="J97" s="96"/>
      <c r="K97" s="96"/>
      <c r="L97" s="91"/>
      <c r="M97" s="91"/>
      <c r="N97" s="91"/>
      <c r="O97" s="91"/>
      <c r="P97" s="91"/>
      <c r="Q97" s="91"/>
      <c r="R97" s="97">
        <f t="shared" si="22"/>
        <v>0</v>
      </c>
      <c r="S97" s="98">
        <v>208735131.60000002</v>
      </c>
      <c r="T97" s="97"/>
      <c r="U97" s="100">
        <f t="shared" si="24"/>
        <v>0</v>
      </c>
      <c r="V97" s="107">
        <f t="shared" si="25"/>
        <v>0</v>
      </c>
      <c r="W97" s="91"/>
      <c r="X97" s="94"/>
      <c r="Y97" s="94"/>
      <c r="Z97" s="94">
        <f>SUM(Z98:Z102)</f>
        <v>164664778</v>
      </c>
      <c r="AA97" s="94"/>
      <c r="AB97" s="94"/>
      <c r="AC97" s="94"/>
      <c r="AD97" s="94">
        <f>G97+Z97+AC97</f>
        <v>164664778</v>
      </c>
    </row>
    <row r="98" spans="1:30" ht="15" x14ac:dyDescent="0.2">
      <c r="A98" s="91">
        <v>131116</v>
      </c>
      <c r="B98" s="101" t="s">
        <v>646</v>
      </c>
      <c r="C98" s="102" t="s">
        <v>41</v>
      </c>
      <c r="D98" s="103" t="s">
        <v>17</v>
      </c>
      <c r="E98" s="141"/>
      <c r="F98" s="48">
        <v>33324</v>
      </c>
      <c r="G98" s="106">
        <f t="shared" si="35"/>
        <v>0</v>
      </c>
      <c r="H98" s="95"/>
      <c r="I98" s="95"/>
      <c r="J98" s="96"/>
      <c r="K98" s="96"/>
      <c r="L98" s="91"/>
      <c r="M98" s="91"/>
      <c r="N98" s="91"/>
      <c r="O98" s="91"/>
      <c r="P98" s="91"/>
      <c r="Q98" s="91"/>
      <c r="R98" s="97">
        <f t="shared" si="22"/>
        <v>0</v>
      </c>
      <c r="S98" s="98">
        <v>43140294.900000006</v>
      </c>
      <c r="T98" s="97"/>
      <c r="U98" s="100">
        <f t="shared" si="24"/>
        <v>0</v>
      </c>
      <c r="V98" s="107">
        <f t="shared" si="25"/>
        <v>0</v>
      </c>
      <c r="W98" s="91"/>
      <c r="X98" s="168">
        <v>1142.7769736842106</v>
      </c>
      <c r="Y98" s="106">
        <f>(F98*3.5%)+F98</f>
        <v>34490.339999999997</v>
      </c>
      <c r="Z98" s="106">
        <f>ROUND(X98*Y98,0)</f>
        <v>39414766</v>
      </c>
      <c r="AA98" s="106"/>
      <c r="AB98" s="106"/>
      <c r="AC98" s="106"/>
      <c r="AD98" s="108">
        <f t="shared" ref="AD98:AD102" si="39">G98+Z98+AC98</f>
        <v>39414766</v>
      </c>
    </row>
    <row r="99" spans="1:30" ht="15" x14ac:dyDescent="0.2">
      <c r="A99" s="91">
        <v>131214</v>
      </c>
      <c r="B99" s="101" t="s">
        <v>647</v>
      </c>
      <c r="C99" s="102" t="s">
        <v>50</v>
      </c>
      <c r="D99" s="103" t="s">
        <v>21</v>
      </c>
      <c r="E99" s="104"/>
      <c r="F99" s="48">
        <v>526724</v>
      </c>
      <c r="G99" s="106">
        <f t="shared" si="35"/>
        <v>0</v>
      </c>
      <c r="H99" s="95"/>
      <c r="I99" s="95"/>
      <c r="J99" s="96"/>
      <c r="K99" s="96"/>
      <c r="L99" s="91"/>
      <c r="M99" s="91"/>
      <c r="N99" s="91"/>
      <c r="O99" s="91"/>
      <c r="P99" s="91"/>
      <c r="Q99" s="91"/>
      <c r="R99" s="97">
        <f t="shared" si="22"/>
        <v>0</v>
      </c>
      <c r="S99" s="98">
        <v>7696945.3499999996</v>
      </c>
      <c r="T99" s="97"/>
      <c r="U99" s="100">
        <f t="shared" si="24"/>
        <v>0</v>
      </c>
      <c r="V99" s="107">
        <f t="shared" si="25"/>
        <v>0</v>
      </c>
      <c r="W99" s="91"/>
      <c r="X99" s="168">
        <v>12.3</v>
      </c>
      <c r="Y99" s="106">
        <f>(F99*3.5%)+F99</f>
        <v>545159.34</v>
      </c>
      <c r="Z99" s="106">
        <f t="shared" ref="Z99:Z102" si="40">ROUND(X99*Y99,0)</f>
        <v>6705460</v>
      </c>
      <c r="AA99" s="106"/>
      <c r="AB99" s="106"/>
      <c r="AC99" s="106"/>
      <c r="AD99" s="108">
        <f t="shared" si="39"/>
        <v>6705460</v>
      </c>
    </row>
    <row r="100" spans="1:30" ht="15" x14ac:dyDescent="0.2">
      <c r="A100" s="91">
        <v>130202</v>
      </c>
      <c r="B100" s="101" t="s">
        <v>648</v>
      </c>
      <c r="C100" s="102" t="s">
        <v>52</v>
      </c>
      <c r="D100" s="103" t="s">
        <v>11</v>
      </c>
      <c r="E100" s="104"/>
      <c r="F100" s="48">
        <v>65199</v>
      </c>
      <c r="G100" s="106">
        <f t="shared" si="35"/>
        <v>0</v>
      </c>
      <c r="H100" s="95"/>
      <c r="I100" s="95"/>
      <c r="J100" s="96"/>
      <c r="K100" s="96"/>
      <c r="L100" s="91"/>
      <c r="M100" s="91"/>
      <c r="N100" s="91"/>
      <c r="O100" s="91"/>
      <c r="P100" s="91"/>
      <c r="Q100" s="91"/>
      <c r="R100" s="97">
        <f t="shared" si="22"/>
        <v>0</v>
      </c>
      <c r="S100" s="98">
        <v>40886441.549999997</v>
      </c>
      <c r="T100" s="97"/>
      <c r="U100" s="100">
        <f t="shared" si="24"/>
        <v>0</v>
      </c>
      <c r="V100" s="107">
        <f t="shared" si="25"/>
        <v>0</v>
      </c>
      <c r="W100" s="91"/>
      <c r="X100" s="168">
        <v>650.15933333333328</v>
      </c>
      <c r="Y100" s="106">
        <f t="shared" ref="Y100" si="41">(F100*3.5%)+F100</f>
        <v>67480.964999999997</v>
      </c>
      <c r="Z100" s="106">
        <f t="shared" si="40"/>
        <v>43873379</v>
      </c>
      <c r="AA100" s="106"/>
      <c r="AB100" s="106"/>
      <c r="AC100" s="106"/>
      <c r="AD100" s="108">
        <f t="shared" si="39"/>
        <v>43873379</v>
      </c>
    </row>
    <row r="101" spans="1:30" ht="15" x14ac:dyDescent="0.2">
      <c r="A101" s="91">
        <v>130417</v>
      </c>
      <c r="B101" s="101" t="s">
        <v>649</v>
      </c>
      <c r="C101" s="102" t="s">
        <v>53</v>
      </c>
      <c r="D101" s="103" t="s">
        <v>11</v>
      </c>
      <c r="E101" s="104"/>
      <c r="F101" s="48">
        <v>50709</v>
      </c>
      <c r="G101" s="106">
        <f t="shared" si="35"/>
        <v>0</v>
      </c>
      <c r="H101" s="95"/>
      <c r="I101" s="95"/>
      <c r="J101" s="96"/>
      <c r="K101" s="96"/>
      <c r="L101" s="91"/>
      <c r="M101" s="91"/>
      <c r="N101" s="91"/>
      <c r="O101" s="91"/>
      <c r="P101" s="91"/>
      <c r="Q101" s="91"/>
      <c r="R101" s="97">
        <f t="shared" si="22"/>
        <v>0</v>
      </c>
      <c r="S101" s="98">
        <v>29377883.25</v>
      </c>
      <c r="T101" s="97"/>
      <c r="U101" s="100">
        <f t="shared" si="24"/>
        <v>0</v>
      </c>
      <c r="V101" s="107">
        <f t="shared" si="25"/>
        <v>0</v>
      </c>
      <c r="W101" s="91"/>
      <c r="X101" s="168">
        <v>596.88</v>
      </c>
      <c r="Y101" s="106">
        <f>(F101*3.5%)+F101</f>
        <v>52483.815000000002</v>
      </c>
      <c r="Z101" s="106">
        <f t="shared" si="40"/>
        <v>31326539</v>
      </c>
      <c r="AA101" s="106"/>
      <c r="AB101" s="106"/>
      <c r="AC101" s="106"/>
      <c r="AD101" s="108">
        <f t="shared" si="39"/>
        <v>31326539</v>
      </c>
    </row>
    <row r="102" spans="1:30" ht="15" x14ac:dyDescent="0.2">
      <c r="A102" s="91">
        <v>120101</v>
      </c>
      <c r="B102" s="101" t="s">
        <v>650</v>
      </c>
      <c r="C102" s="102" t="s">
        <v>34</v>
      </c>
      <c r="D102" s="103" t="s">
        <v>89</v>
      </c>
      <c r="E102" s="104"/>
      <c r="F102" s="48">
        <v>6590</v>
      </c>
      <c r="G102" s="106">
        <f t="shared" si="35"/>
        <v>0</v>
      </c>
      <c r="H102" s="95"/>
      <c r="I102" s="95"/>
      <c r="J102" s="96"/>
      <c r="K102" s="96"/>
      <c r="L102" s="91"/>
      <c r="M102" s="91"/>
      <c r="N102" s="91"/>
      <c r="O102" s="91"/>
      <c r="P102" s="91"/>
      <c r="Q102" s="91"/>
      <c r="R102" s="97">
        <f t="shared" si="22"/>
        <v>0</v>
      </c>
      <c r="S102" s="98">
        <v>87633566.550000012</v>
      </c>
      <c r="T102" s="97"/>
      <c r="U102" s="100">
        <f t="shared" si="24"/>
        <v>0</v>
      </c>
      <c r="V102" s="107">
        <f t="shared" si="25"/>
        <v>0</v>
      </c>
      <c r="W102" s="91"/>
      <c r="X102" s="168">
        <v>6354.9124426666667</v>
      </c>
      <c r="Y102" s="106">
        <f>(F102*3.5%)+F102</f>
        <v>6820.65</v>
      </c>
      <c r="Z102" s="106">
        <f t="shared" si="40"/>
        <v>43344634</v>
      </c>
      <c r="AA102" s="106"/>
      <c r="AB102" s="106"/>
      <c r="AC102" s="106"/>
      <c r="AD102" s="108">
        <f t="shared" si="39"/>
        <v>43344634</v>
      </c>
    </row>
    <row r="103" spans="1:30" x14ac:dyDescent="0.2">
      <c r="A103" s="91"/>
      <c r="B103" s="103"/>
      <c r="C103" s="102"/>
      <c r="D103" s="103"/>
      <c r="E103" s="102"/>
      <c r="F103" s="106"/>
      <c r="G103" s="110"/>
      <c r="H103" s="95"/>
      <c r="I103" s="95"/>
      <c r="J103" s="96"/>
      <c r="K103" s="96"/>
      <c r="L103" s="91"/>
      <c r="M103" s="91"/>
      <c r="N103" s="91"/>
      <c r="O103" s="91"/>
      <c r="P103" s="91"/>
      <c r="Q103" s="91"/>
      <c r="R103" s="97">
        <f t="shared" si="22"/>
        <v>0</v>
      </c>
      <c r="S103" s="98">
        <v>0</v>
      </c>
      <c r="T103" s="97"/>
      <c r="U103" s="100">
        <f t="shared" si="24"/>
        <v>0</v>
      </c>
      <c r="V103" s="107">
        <f t="shared" si="25"/>
        <v>0</v>
      </c>
      <c r="W103" s="91"/>
      <c r="X103" s="110"/>
      <c r="Y103" s="110"/>
      <c r="Z103" s="110"/>
      <c r="AA103" s="110"/>
      <c r="AB103" s="110"/>
      <c r="AC103" s="110"/>
      <c r="AD103" s="110"/>
    </row>
    <row r="104" spans="1:30" ht="15" x14ac:dyDescent="0.2">
      <c r="A104" s="91"/>
      <c r="B104" s="111" t="s">
        <v>651</v>
      </c>
      <c r="C104" s="93" t="s">
        <v>55</v>
      </c>
      <c r="D104" s="125"/>
      <c r="E104" s="140"/>
      <c r="F104" s="126"/>
      <c r="G104" s="113">
        <f>SUM(G105:G110)</f>
        <v>0</v>
      </c>
      <c r="H104" s="95"/>
      <c r="I104" s="95"/>
      <c r="J104" s="96"/>
      <c r="K104" s="96"/>
      <c r="L104" s="91"/>
      <c r="M104" s="91"/>
      <c r="N104" s="91"/>
      <c r="O104" s="91"/>
      <c r="P104" s="91"/>
      <c r="Q104" s="91"/>
      <c r="R104" s="97">
        <f t="shared" si="22"/>
        <v>0</v>
      </c>
      <c r="S104" s="98">
        <v>115057416.59999999</v>
      </c>
      <c r="T104" s="97"/>
      <c r="U104" s="100">
        <f t="shared" si="24"/>
        <v>0</v>
      </c>
      <c r="V104" s="107"/>
      <c r="W104" s="91"/>
      <c r="X104" s="113"/>
      <c r="Y104" s="113"/>
      <c r="Z104" s="113">
        <f>SUM(Z105:Z110)</f>
        <v>112029308</v>
      </c>
      <c r="AA104" s="113"/>
      <c r="AB104" s="113"/>
      <c r="AC104" s="113"/>
      <c r="AD104" s="94">
        <f>G104+Z104+AC104</f>
        <v>112029308</v>
      </c>
    </row>
    <row r="105" spans="1:30" ht="15" x14ac:dyDescent="0.2">
      <c r="A105" s="91">
        <v>190109</v>
      </c>
      <c r="B105" s="101" t="s">
        <v>652</v>
      </c>
      <c r="C105" s="102" t="s">
        <v>57</v>
      </c>
      <c r="D105" s="103" t="s">
        <v>8</v>
      </c>
      <c r="E105" s="104"/>
      <c r="F105" s="48">
        <v>29488</v>
      </c>
      <c r="G105" s="106">
        <f t="shared" si="35"/>
        <v>0</v>
      </c>
      <c r="H105" s="95"/>
      <c r="I105" s="95"/>
      <c r="J105" s="96"/>
      <c r="K105" s="96"/>
      <c r="L105" s="91"/>
      <c r="M105" s="91"/>
      <c r="N105" s="91"/>
      <c r="O105" s="91"/>
      <c r="P105" s="91"/>
      <c r="Q105" s="91"/>
      <c r="R105" s="97">
        <f t="shared" si="22"/>
        <v>0</v>
      </c>
      <c r="S105" s="98">
        <v>60605882.099999994</v>
      </c>
      <c r="T105" s="97"/>
      <c r="U105" s="100">
        <f t="shared" si="24"/>
        <v>0</v>
      </c>
      <c r="V105" s="107">
        <f t="shared" si="25"/>
        <v>0</v>
      </c>
      <c r="W105" s="91"/>
      <c r="X105" s="132">
        <v>1861.463</v>
      </c>
      <c r="Y105" s="106">
        <f t="shared" ref="Y105:Y110" si="42">(F105*3.5%)+F105</f>
        <v>30520.080000000002</v>
      </c>
      <c r="Z105" s="106">
        <f t="shared" ref="Z105:Z116" si="43">ROUND(X105*Y105,0)</f>
        <v>56812000</v>
      </c>
      <c r="AA105" s="106"/>
      <c r="AB105" s="106"/>
      <c r="AC105" s="106"/>
      <c r="AD105" s="108">
        <f t="shared" ref="AD105:AD110" si="44">G105+Z105+AC105</f>
        <v>56812000</v>
      </c>
    </row>
    <row r="106" spans="1:30" ht="15" x14ac:dyDescent="0.2">
      <c r="A106" s="91">
        <v>190112</v>
      </c>
      <c r="B106" s="101" t="s">
        <v>653</v>
      </c>
      <c r="C106" s="102" t="s">
        <v>58</v>
      </c>
      <c r="D106" s="103" t="s">
        <v>8</v>
      </c>
      <c r="E106" s="104"/>
      <c r="F106" s="48">
        <v>32643</v>
      </c>
      <c r="G106" s="106">
        <f t="shared" si="35"/>
        <v>0</v>
      </c>
      <c r="H106" s="95"/>
      <c r="I106" s="95"/>
      <c r="J106" s="96"/>
      <c r="K106" s="96"/>
      <c r="L106" s="91"/>
      <c r="M106" s="91"/>
      <c r="N106" s="91"/>
      <c r="O106" s="91"/>
      <c r="P106" s="91"/>
      <c r="Q106" s="91"/>
      <c r="R106" s="97">
        <f t="shared" si="22"/>
        <v>0</v>
      </c>
      <c r="S106" s="98">
        <v>45080041.049999997</v>
      </c>
      <c r="T106" s="97"/>
      <c r="U106" s="100">
        <f t="shared" si="24"/>
        <v>0</v>
      </c>
      <c r="V106" s="107">
        <f t="shared" si="25"/>
        <v>0</v>
      </c>
      <c r="W106" s="91"/>
      <c r="X106" s="132">
        <v>1365.386</v>
      </c>
      <c r="Y106" s="106">
        <f t="shared" si="42"/>
        <v>33785.504999999997</v>
      </c>
      <c r="Z106" s="106">
        <f t="shared" si="43"/>
        <v>46130256</v>
      </c>
      <c r="AA106" s="106"/>
      <c r="AB106" s="106"/>
      <c r="AC106" s="106"/>
      <c r="AD106" s="108">
        <f t="shared" si="44"/>
        <v>46130256</v>
      </c>
    </row>
    <row r="107" spans="1:30" ht="15" x14ac:dyDescent="0.2">
      <c r="A107" s="91">
        <v>190120</v>
      </c>
      <c r="B107" s="101" t="s">
        <v>654</v>
      </c>
      <c r="C107" s="102" t="s">
        <v>59</v>
      </c>
      <c r="D107" s="103" t="s">
        <v>11</v>
      </c>
      <c r="E107" s="104"/>
      <c r="F107" s="48">
        <v>18221</v>
      </c>
      <c r="G107" s="106">
        <f t="shared" si="35"/>
        <v>0</v>
      </c>
      <c r="H107" s="95"/>
      <c r="I107" s="95"/>
      <c r="J107" s="96"/>
      <c r="K107" s="96"/>
      <c r="L107" s="91"/>
      <c r="M107" s="91"/>
      <c r="N107" s="91"/>
      <c r="O107" s="91"/>
      <c r="P107" s="91"/>
      <c r="Q107" s="91"/>
      <c r="R107" s="97">
        <f t="shared" si="22"/>
        <v>0</v>
      </c>
      <c r="S107" s="98">
        <v>2402350.6500000004</v>
      </c>
      <c r="T107" s="97"/>
      <c r="U107" s="100">
        <f t="shared" si="24"/>
        <v>0</v>
      </c>
      <c r="V107" s="107">
        <f t="shared" si="25"/>
        <v>0</v>
      </c>
      <c r="W107" s="91"/>
      <c r="X107" s="132">
        <v>125.85</v>
      </c>
      <c r="Y107" s="106">
        <f t="shared" si="42"/>
        <v>18858.735000000001</v>
      </c>
      <c r="Z107" s="106">
        <f t="shared" si="43"/>
        <v>2373372</v>
      </c>
      <c r="AA107" s="106"/>
      <c r="AB107" s="106"/>
      <c r="AC107" s="106"/>
      <c r="AD107" s="108">
        <f t="shared" si="44"/>
        <v>2373372</v>
      </c>
    </row>
    <row r="108" spans="1:30" ht="15" x14ac:dyDescent="0.2">
      <c r="A108" s="91">
        <v>190910</v>
      </c>
      <c r="B108" s="101" t="s">
        <v>655</v>
      </c>
      <c r="C108" s="102" t="s">
        <v>60</v>
      </c>
      <c r="D108" s="103" t="s">
        <v>11</v>
      </c>
      <c r="E108" s="104"/>
      <c r="F108" s="48">
        <v>8962</v>
      </c>
      <c r="G108" s="106">
        <f t="shared" si="35"/>
        <v>0</v>
      </c>
      <c r="H108" s="95"/>
      <c r="I108" s="95"/>
      <c r="J108" s="96"/>
      <c r="K108" s="96"/>
      <c r="L108" s="91"/>
      <c r="M108" s="91"/>
      <c r="N108" s="91"/>
      <c r="O108" s="91"/>
      <c r="P108" s="91"/>
      <c r="Q108" s="91"/>
      <c r="R108" s="97">
        <f t="shared" si="22"/>
        <v>0</v>
      </c>
      <c r="S108" s="98">
        <v>2426434.6500000004</v>
      </c>
      <c r="T108" s="97"/>
      <c r="U108" s="100">
        <f t="shared" si="24"/>
        <v>0</v>
      </c>
      <c r="V108" s="107">
        <f t="shared" si="25"/>
        <v>0</v>
      </c>
      <c r="W108" s="91"/>
      <c r="X108" s="132">
        <v>259.2</v>
      </c>
      <c r="Y108" s="106">
        <f t="shared" si="42"/>
        <v>9275.67</v>
      </c>
      <c r="Z108" s="106">
        <f t="shared" si="43"/>
        <v>2404254</v>
      </c>
      <c r="AA108" s="106"/>
      <c r="AB108" s="106"/>
      <c r="AC108" s="106"/>
      <c r="AD108" s="108">
        <f t="shared" si="44"/>
        <v>2404254</v>
      </c>
    </row>
    <row r="109" spans="1:30" ht="15" x14ac:dyDescent="0.2">
      <c r="A109" s="91">
        <v>190901</v>
      </c>
      <c r="B109" s="101" t="s">
        <v>656</v>
      </c>
      <c r="C109" s="102" t="s">
        <v>61</v>
      </c>
      <c r="D109" s="103" t="s">
        <v>11</v>
      </c>
      <c r="E109" s="104"/>
      <c r="F109" s="48">
        <v>8962</v>
      </c>
      <c r="G109" s="106">
        <f t="shared" si="35"/>
        <v>0</v>
      </c>
      <c r="H109" s="95"/>
      <c r="I109" s="95"/>
      <c r="J109" s="96"/>
      <c r="K109" s="96"/>
      <c r="L109" s="91"/>
      <c r="M109" s="91"/>
      <c r="N109" s="91"/>
      <c r="O109" s="91"/>
      <c r="P109" s="91"/>
      <c r="Q109" s="91"/>
      <c r="R109" s="97">
        <f t="shared" si="22"/>
        <v>0</v>
      </c>
      <c r="S109" s="98">
        <v>1727707.0499999998</v>
      </c>
      <c r="T109" s="97"/>
      <c r="U109" s="100">
        <f t="shared" si="24"/>
        <v>0</v>
      </c>
      <c r="V109" s="107">
        <f t="shared" si="25"/>
        <v>0</v>
      </c>
      <c r="W109" s="91"/>
      <c r="X109" s="132">
        <v>186.99999999999997</v>
      </c>
      <c r="Y109" s="106">
        <f t="shared" si="42"/>
        <v>9275.67</v>
      </c>
      <c r="Z109" s="106">
        <f t="shared" si="43"/>
        <v>1734550</v>
      </c>
      <c r="AA109" s="106"/>
      <c r="AB109" s="106"/>
      <c r="AC109" s="106"/>
      <c r="AD109" s="108">
        <f t="shared" si="44"/>
        <v>1734550</v>
      </c>
    </row>
    <row r="110" spans="1:30" ht="15" x14ac:dyDescent="0.2">
      <c r="A110" s="91">
        <v>190105</v>
      </c>
      <c r="B110" s="101" t="s">
        <v>657</v>
      </c>
      <c r="C110" s="102" t="s">
        <v>618</v>
      </c>
      <c r="D110" s="103" t="s">
        <v>11</v>
      </c>
      <c r="E110" s="104"/>
      <c r="F110" s="48">
        <v>15858</v>
      </c>
      <c r="G110" s="106">
        <f t="shared" si="35"/>
        <v>0</v>
      </c>
      <c r="H110" s="95"/>
      <c r="I110" s="95"/>
      <c r="J110" s="96"/>
      <c r="K110" s="96"/>
      <c r="L110" s="91"/>
      <c r="M110" s="91"/>
      <c r="N110" s="91"/>
      <c r="O110" s="91"/>
      <c r="P110" s="91"/>
      <c r="Q110" s="91"/>
      <c r="R110" s="97">
        <f t="shared" si="22"/>
        <v>0</v>
      </c>
      <c r="S110" s="98">
        <v>2815001.0999999996</v>
      </c>
      <c r="T110" s="97"/>
      <c r="U110" s="100">
        <f t="shared" si="24"/>
        <v>0</v>
      </c>
      <c r="V110" s="107">
        <f t="shared" si="25"/>
        <v>0</v>
      </c>
      <c r="W110" s="91"/>
      <c r="X110" s="132">
        <v>156.88</v>
      </c>
      <c r="Y110" s="106">
        <f t="shared" si="42"/>
        <v>16413.03</v>
      </c>
      <c r="Z110" s="106">
        <f t="shared" si="43"/>
        <v>2574876</v>
      </c>
      <c r="AA110" s="106"/>
      <c r="AB110" s="106"/>
      <c r="AC110" s="106"/>
      <c r="AD110" s="108">
        <f t="shared" si="44"/>
        <v>2574876</v>
      </c>
    </row>
    <row r="111" spans="1:30" ht="15" x14ac:dyDescent="0.2">
      <c r="A111" s="91"/>
      <c r="B111" s="111" t="s">
        <v>68</v>
      </c>
      <c r="C111" s="93" t="s">
        <v>334</v>
      </c>
      <c r="D111" s="125"/>
      <c r="E111" s="140"/>
      <c r="F111" s="126"/>
      <c r="G111" s="113">
        <f>SUM(G112)</f>
        <v>0</v>
      </c>
      <c r="H111" s="95"/>
      <c r="I111" s="95"/>
      <c r="J111" s="96"/>
      <c r="K111" s="96"/>
      <c r="L111" s="91"/>
      <c r="M111" s="91"/>
      <c r="N111" s="91"/>
      <c r="O111" s="91"/>
      <c r="P111" s="91"/>
      <c r="Q111" s="91"/>
      <c r="R111" s="97">
        <f t="shared" si="22"/>
        <v>0</v>
      </c>
      <c r="S111" s="98">
        <v>30629175.299999997</v>
      </c>
      <c r="T111" s="97"/>
      <c r="U111" s="100">
        <f t="shared" si="24"/>
        <v>0</v>
      </c>
      <c r="V111" s="107"/>
      <c r="W111" s="91"/>
      <c r="X111" s="113"/>
      <c r="Y111" s="113"/>
      <c r="Z111" s="113">
        <f>SUM(Z112)</f>
        <v>28848651</v>
      </c>
      <c r="AA111" s="113"/>
      <c r="AB111" s="113"/>
      <c r="AC111" s="113"/>
      <c r="AD111" s="94">
        <f t="shared" ref="AD111:AD116" si="45">G111+Z111+AC111</f>
        <v>28848651</v>
      </c>
    </row>
    <row r="112" spans="1:30" ht="15" x14ac:dyDescent="0.2">
      <c r="A112" s="91">
        <v>190304</v>
      </c>
      <c r="B112" s="101" t="s">
        <v>658</v>
      </c>
      <c r="C112" s="102" t="s">
        <v>335</v>
      </c>
      <c r="D112" s="103" t="s">
        <v>8</v>
      </c>
      <c r="E112" s="104"/>
      <c r="F112" s="48">
        <v>49682</v>
      </c>
      <c r="G112" s="106">
        <f t="shared" si="35"/>
        <v>0</v>
      </c>
      <c r="H112" s="95"/>
      <c r="I112" s="95"/>
      <c r="J112" s="96"/>
      <c r="K112" s="96"/>
      <c r="L112" s="91"/>
      <c r="M112" s="91"/>
      <c r="N112" s="91"/>
      <c r="O112" s="91"/>
      <c r="P112" s="91"/>
      <c r="Q112" s="91"/>
      <c r="R112" s="97">
        <f t="shared" si="22"/>
        <v>0</v>
      </c>
      <c r="S112" s="98">
        <v>30629175.299999997</v>
      </c>
      <c r="T112" s="97"/>
      <c r="U112" s="100">
        <f t="shared" si="24"/>
        <v>0</v>
      </c>
      <c r="V112" s="107">
        <f t="shared" si="25"/>
        <v>0</v>
      </c>
      <c r="W112" s="91"/>
      <c r="X112" s="170">
        <v>561.03</v>
      </c>
      <c r="Y112" s="106">
        <f>(F112*3.5%)+F112</f>
        <v>51420.87</v>
      </c>
      <c r="Z112" s="106">
        <f t="shared" si="43"/>
        <v>28848651</v>
      </c>
      <c r="AA112" s="106"/>
      <c r="AB112" s="106"/>
      <c r="AC112" s="106"/>
      <c r="AD112" s="108">
        <f t="shared" si="45"/>
        <v>28848651</v>
      </c>
    </row>
    <row r="113" spans="1:243" ht="15" x14ac:dyDescent="0.2">
      <c r="A113" s="91"/>
      <c r="B113" s="111" t="s">
        <v>69</v>
      </c>
      <c r="C113" s="93" t="s">
        <v>336</v>
      </c>
      <c r="D113" s="125"/>
      <c r="E113" s="140"/>
      <c r="F113" s="126"/>
      <c r="G113" s="113">
        <f>SUM(G114)</f>
        <v>0</v>
      </c>
      <c r="H113" s="95"/>
      <c r="I113" s="95"/>
      <c r="J113" s="96"/>
      <c r="K113" s="96"/>
      <c r="L113" s="91"/>
      <c r="M113" s="91"/>
      <c r="N113" s="91"/>
      <c r="O113" s="91"/>
      <c r="P113" s="91"/>
      <c r="Q113" s="91"/>
      <c r="R113" s="97">
        <f t="shared" si="22"/>
        <v>0</v>
      </c>
      <c r="S113" s="98">
        <v>48930535.349999994</v>
      </c>
      <c r="T113" s="97"/>
      <c r="U113" s="100">
        <f t="shared" si="24"/>
        <v>0</v>
      </c>
      <c r="V113" s="107"/>
      <c r="W113" s="91"/>
      <c r="X113" s="113"/>
      <c r="Y113" s="113"/>
      <c r="Z113" s="113">
        <f>SUM(Z114)</f>
        <v>40003282</v>
      </c>
      <c r="AA113" s="113"/>
      <c r="AB113" s="113"/>
      <c r="AC113" s="113"/>
      <c r="AD113" s="94">
        <f t="shared" si="45"/>
        <v>40003282</v>
      </c>
    </row>
    <row r="114" spans="1:243" ht="15" x14ac:dyDescent="0.2">
      <c r="A114" s="91">
        <v>190514</v>
      </c>
      <c r="B114" s="101" t="s">
        <v>659</v>
      </c>
      <c r="C114" s="102" t="s">
        <v>337</v>
      </c>
      <c r="D114" s="103" t="s">
        <v>8</v>
      </c>
      <c r="E114" s="104"/>
      <c r="F114" s="48">
        <v>99868</v>
      </c>
      <c r="G114" s="106">
        <f t="shared" si="35"/>
        <v>0</v>
      </c>
      <c r="H114" s="95"/>
      <c r="I114" s="95"/>
      <c r="J114" s="96"/>
      <c r="K114" s="96"/>
      <c r="L114" s="91"/>
      <c r="M114" s="91"/>
      <c r="N114" s="91"/>
      <c r="O114" s="91"/>
      <c r="P114" s="91"/>
      <c r="Q114" s="91"/>
      <c r="R114" s="97">
        <f t="shared" si="22"/>
        <v>0</v>
      </c>
      <c r="S114" s="98">
        <v>48930535.349999994</v>
      </c>
      <c r="T114" s="97"/>
      <c r="U114" s="100">
        <f t="shared" si="24"/>
        <v>0</v>
      </c>
      <c r="V114" s="107">
        <f t="shared" si="25"/>
        <v>0</v>
      </c>
      <c r="W114" s="91"/>
      <c r="X114" s="170">
        <v>387.01599999999996</v>
      </c>
      <c r="Y114" s="106">
        <f>(F114*3.5%)+F114</f>
        <v>103363.38</v>
      </c>
      <c r="Z114" s="106">
        <f t="shared" si="43"/>
        <v>40003282</v>
      </c>
      <c r="AA114" s="106"/>
      <c r="AB114" s="106"/>
      <c r="AC114" s="106"/>
      <c r="AD114" s="108">
        <f t="shared" si="45"/>
        <v>40003282</v>
      </c>
    </row>
    <row r="115" spans="1:243" ht="15" x14ac:dyDescent="0.2">
      <c r="A115" s="91"/>
      <c r="B115" s="111" t="s">
        <v>134</v>
      </c>
      <c r="C115" s="93" t="s">
        <v>355</v>
      </c>
      <c r="D115" s="125"/>
      <c r="E115" s="140"/>
      <c r="F115" s="126"/>
      <c r="G115" s="113">
        <f>SUM(G116)</f>
        <v>0</v>
      </c>
      <c r="H115" s="95"/>
      <c r="I115" s="95"/>
      <c r="J115" s="96"/>
      <c r="K115" s="96"/>
      <c r="L115" s="91"/>
      <c r="M115" s="91"/>
      <c r="N115" s="91"/>
      <c r="O115" s="91"/>
      <c r="P115" s="91"/>
      <c r="Q115" s="91"/>
      <c r="R115" s="97">
        <f t="shared" si="22"/>
        <v>0</v>
      </c>
      <c r="S115" s="98">
        <v>11079595.800000001</v>
      </c>
      <c r="T115" s="97"/>
      <c r="U115" s="100">
        <f t="shared" si="24"/>
        <v>0</v>
      </c>
      <c r="V115" s="107"/>
      <c r="W115" s="91"/>
      <c r="X115" s="113"/>
      <c r="Y115" s="113"/>
      <c r="Z115" s="113">
        <f>SUM(Z116)</f>
        <v>16223374</v>
      </c>
      <c r="AA115" s="113"/>
      <c r="AB115" s="113"/>
      <c r="AC115" s="113"/>
      <c r="AD115" s="94">
        <f t="shared" si="45"/>
        <v>16223374</v>
      </c>
    </row>
    <row r="116" spans="1:243" ht="15" x14ac:dyDescent="0.2">
      <c r="A116" s="91">
        <v>191001</v>
      </c>
      <c r="B116" s="101" t="s">
        <v>660</v>
      </c>
      <c r="C116" s="102" t="s">
        <v>137</v>
      </c>
      <c r="D116" s="103" t="s">
        <v>11</v>
      </c>
      <c r="E116" s="104"/>
      <c r="F116" s="48">
        <v>1222680</v>
      </c>
      <c r="G116" s="106">
        <f t="shared" si="35"/>
        <v>0</v>
      </c>
      <c r="H116" s="95"/>
      <c r="I116" s="95"/>
      <c r="J116" s="96"/>
      <c r="K116" s="96"/>
      <c r="L116" s="91"/>
      <c r="M116" s="91"/>
      <c r="N116" s="91"/>
      <c r="O116" s="91"/>
      <c r="P116" s="91"/>
      <c r="Q116" s="91"/>
      <c r="R116" s="97">
        <f t="shared" si="22"/>
        <v>0</v>
      </c>
      <c r="S116" s="98">
        <v>11079595.800000001</v>
      </c>
      <c r="T116" s="97"/>
      <c r="U116" s="100">
        <f t="shared" si="24"/>
        <v>0</v>
      </c>
      <c r="V116" s="107">
        <f t="shared" si="25"/>
        <v>0</v>
      </c>
      <c r="W116" s="91"/>
      <c r="X116" s="170">
        <v>12.819999999999999</v>
      </c>
      <c r="Y116" s="106">
        <f>(F116*3.5%)+F116</f>
        <v>1265473.8</v>
      </c>
      <c r="Z116" s="106">
        <f t="shared" si="43"/>
        <v>16223374</v>
      </c>
      <c r="AA116" s="106"/>
      <c r="AB116" s="106"/>
      <c r="AC116" s="106"/>
      <c r="AD116" s="108">
        <f t="shared" si="45"/>
        <v>16223374</v>
      </c>
    </row>
    <row r="117" spans="1:243" x14ac:dyDescent="0.2">
      <c r="A117" s="91"/>
      <c r="B117" s="103"/>
      <c r="C117" s="102"/>
      <c r="D117" s="103"/>
      <c r="E117" s="102"/>
      <c r="F117" s="106"/>
      <c r="G117" s="108"/>
      <c r="H117" s="95"/>
      <c r="I117" s="95"/>
      <c r="J117" s="96"/>
      <c r="K117" s="96"/>
      <c r="L117" s="91"/>
      <c r="M117" s="91"/>
      <c r="N117" s="91"/>
      <c r="O117" s="91"/>
      <c r="P117" s="91"/>
      <c r="Q117" s="91"/>
      <c r="R117" s="97">
        <f t="shared" si="22"/>
        <v>0</v>
      </c>
      <c r="S117" s="98">
        <v>0</v>
      </c>
      <c r="T117" s="97"/>
      <c r="U117" s="100">
        <f t="shared" si="24"/>
        <v>0</v>
      </c>
      <c r="V117" s="107">
        <f t="shared" si="25"/>
        <v>0</v>
      </c>
      <c r="W117" s="91"/>
      <c r="X117" s="108"/>
      <c r="Y117" s="108"/>
      <c r="Z117" s="108"/>
      <c r="AA117" s="108"/>
      <c r="AB117" s="108"/>
      <c r="AC117" s="108"/>
      <c r="AD117" s="108"/>
    </row>
    <row r="118" spans="1:243" x14ac:dyDescent="0.2">
      <c r="A118" s="91"/>
      <c r="B118" s="103"/>
      <c r="C118" s="207" t="s">
        <v>98</v>
      </c>
      <c r="D118" s="207"/>
      <c r="E118" s="207"/>
      <c r="F118" s="208"/>
      <c r="G118" s="123">
        <f>SUM(G89:G117)/2</f>
        <v>0</v>
      </c>
      <c r="H118" s="95"/>
      <c r="I118" s="95"/>
      <c r="J118" s="96"/>
      <c r="K118" s="96"/>
      <c r="L118" s="91"/>
      <c r="M118" s="91"/>
      <c r="N118" s="91"/>
      <c r="O118" s="91"/>
      <c r="P118" s="91"/>
      <c r="Q118" s="91"/>
      <c r="R118" s="121">
        <f t="shared" si="22"/>
        <v>0</v>
      </c>
      <c r="S118" s="98">
        <v>735608237.72722101</v>
      </c>
      <c r="T118" s="97"/>
      <c r="U118" s="100">
        <f t="shared" si="24"/>
        <v>0</v>
      </c>
      <c r="V118" s="107">
        <f t="shared" si="25"/>
        <v>0</v>
      </c>
      <c r="W118" s="91"/>
      <c r="X118" s="123"/>
      <c r="Y118" s="123"/>
      <c r="Z118" s="123">
        <f>SUM(Z89:Z117)/2</f>
        <v>624592047</v>
      </c>
      <c r="AA118" s="123"/>
      <c r="AB118" s="123"/>
      <c r="AC118" s="123"/>
      <c r="AD118" s="123">
        <f>SUM(AD89:AD117)/2</f>
        <v>624592047</v>
      </c>
    </row>
    <row r="119" spans="1:243" x14ac:dyDescent="0.2">
      <c r="A119" s="91"/>
      <c r="B119" s="103"/>
      <c r="C119" s="102"/>
      <c r="D119" s="103"/>
      <c r="E119" s="102"/>
      <c r="F119" s="106"/>
      <c r="G119" s="110"/>
      <c r="H119" s="95"/>
      <c r="I119" s="95"/>
      <c r="J119" s="96"/>
      <c r="K119" s="96"/>
      <c r="L119" s="91"/>
      <c r="M119" s="91"/>
      <c r="N119" s="91"/>
      <c r="O119" s="91"/>
      <c r="P119" s="91"/>
      <c r="Q119" s="91"/>
      <c r="R119" s="97">
        <f t="shared" si="22"/>
        <v>0</v>
      </c>
      <c r="S119" s="98">
        <v>0</v>
      </c>
      <c r="T119" s="97"/>
      <c r="U119" s="100">
        <f t="shared" si="24"/>
        <v>0</v>
      </c>
      <c r="V119" s="107">
        <f t="shared" si="25"/>
        <v>0</v>
      </c>
      <c r="W119" s="91"/>
      <c r="X119" s="91"/>
      <c r="Y119" s="91"/>
      <c r="Z119" s="91"/>
      <c r="AA119" s="91"/>
      <c r="AB119" s="91"/>
      <c r="AC119" s="91"/>
      <c r="AD119" s="91"/>
    </row>
    <row r="120" spans="1:243" ht="30" customHeight="1" x14ac:dyDescent="0.2">
      <c r="A120" s="91"/>
      <c r="B120" s="86">
        <v>8</v>
      </c>
      <c r="C120" s="209" t="s">
        <v>133</v>
      </c>
      <c r="D120" s="209"/>
      <c r="E120" s="209"/>
      <c r="F120" s="210"/>
      <c r="G120" s="124"/>
      <c r="H120" s="95"/>
      <c r="I120" s="95"/>
      <c r="J120" s="96"/>
      <c r="K120" s="96"/>
      <c r="L120" s="91"/>
      <c r="M120" s="91"/>
      <c r="N120" s="91"/>
      <c r="O120" s="91"/>
      <c r="P120" s="91"/>
      <c r="Q120" s="91"/>
      <c r="R120" s="97">
        <f t="shared" si="22"/>
        <v>0</v>
      </c>
      <c r="S120" s="98">
        <v>0</v>
      </c>
      <c r="T120" s="97"/>
      <c r="U120" s="100">
        <f t="shared" si="24"/>
        <v>0</v>
      </c>
      <c r="V120" s="107">
        <f t="shared" si="25"/>
        <v>0</v>
      </c>
      <c r="W120" s="91"/>
      <c r="X120" s="124"/>
      <c r="Y120" s="124"/>
      <c r="Z120" s="124"/>
      <c r="AA120" s="124"/>
      <c r="AB120" s="124"/>
      <c r="AC120" s="124"/>
      <c r="AD120" s="124"/>
    </row>
    <row r="121" spans="1:243" ht="15" x14ac:dyDescent="0.2">
      <c r="A121" s="91"/>
      <c r="B121" s="111" t="s">
        <v>71</v>
      </c>
      <c r="C121" s="93" t="s">
        <v>309</v>
      </c>
      <c r="D121" s="125"/>
      <c r="E121" s="140"/>
      <c r="F121" s="126"/>
      <c r="G121" s="113">
        <f>SUM(G122:G128)</f>
        <v>112866896</v>
      </c>
      <c r="H121" s="95"/>
      <c r="I121" s="95"/>
      <c r="J121" s="96"/>
      <c r="K121" s="96"/>
      <c r="L121" s="91"/>
      <c r="M121" s="91"/>
      <c r="N121" s="91"/>
      <c r="O121" s="91"/>
      <c r="P121" s="91"/>
      <c r="Q121" s="91"/>
      <c r="R121" s="142">
        <f t="shared" si="22"/>
        <v>152370309.60000002</v>
      </c>
      <c r="S121" s="98">
        <v>233080590.01737598</v>
      </c>
      <c r="T121" s="97"/>
      <c r="U121" s="100">
        <f t="shared" si="24"/>
        <v>35553072.240000002</v>
      </c>
      <c r="V121" s="107"/>
      <c r="W121" s="91"/>
      <c r="X121" s="113"/>
      <c r="Y121" s="113"/>
      <c r="Z121" s="113">
        <f>SUM(Z122:Z128)</f>
        <v>110285877</v>
      </c>
      <c r="AA121" s="113"/>
      <c r="AB121" s="113"/>
      <c r="AC121" s="113"/>
      <c r="AD121" s="94">
        <f>G121+Z121+AC121</f>
        <v>223152773</v>
      </c>
    </row>
    <row r="122" spans="1:243" ht="15" x14ac:dyDescent="0.2">
      <c r="A122" s="91">
        <v>200127</v>
      </c>
      <c r="B122" s="101" t="s">
        <v>661</v>
      </c>
      <c r="C122" s="102" t="s">
        <v>154</v>
      </c>
      <c r="D122" s="103" t="s">
        <v>8</v>
      </c>
      <c r="E122" s="143">
        <v>308.83872733343105</v>
      </c>
      <c r="F122" s="48">
        <v>87987</v>
      </c>
      <c r="G122" s="106">
        <f t="shared" ref="G122:G130" si="46">ROUND(E122*F122,0)</f>
        <v>27173793</v>
      </c>
      <c r="H122" s="95"/>
      <c r="I122" s="95"/>
      <c r="J122" s="96"/>
      <c r="K122" s="96"/>
      <c r="L122" s="91"/>
      <c r="M122" s="91"/>
      <c r="N122" s="91"/>
      <c r="O122" s="91"/>
      <c r="P122" s="91"/>
      <c r="Q122" s="91"/>
      <c r="R122" s="97">
        <f t="shared" si="22"/>
        <v>36684620.549999997</v>
      </c>
      <c r="S122" s="98">
        <v>55664884.799999997</v>
      </c>
      <c r="T122" s="97"/>
      <c r="U122" s="100">
        <f t="shared" si="24"/>
        <v>8559744.7949999999</v>
      </c>
      <c r="V122" s="107">
        <f t="shared" si="25"/>
        <v>35733537.795000002</v>
      </c>
      <c r="W122" s="91"/>
      <c r="X122" s="134">
        <v>291.57127266656892</v>
      </c>
      <c r="Y122" s="106">
        <f t="shared" ref="Y122:Y128" si="47">(F122*3.5%)+F122</f>
        <v>91066.544999999998</v>
      </c>
      <c r="Z122" s="106">
        <f t="shared" ref="Z122:Z132" si="48">ROUND(X122*Y122,0)</f>
        <v>26552388</v>
      </c>
      <c r="AA122" s="106"/>
      <c r="AB122" s="106"/>
      <c r="AC122" s="106"/>
      <c r="AD122" s="108">
        <f t="shared" ref="AD122:AD128" si="49">G122+Z122+AC122</f>
        <v>53726181</v>
      </c>
    </row>
    <row r="123" spans="1:243" ht="15" x14ac:dyDescent="0.2">
      <c r="A123" s="91">
        <v>200617</v>
      </c>
      <c r="B123" s="101" t="s">
        <v>662</v>
      </c>
      <c r="C123" s="102" t="s">
        <v>325</v>
      </c>
      <c r="D123" s="103" t="s">
        <v>8</v>
      </c>
      <c r="E123" s="143">
        <v>308.83872733343105</v>
      </c>
      <c r="F123" s="48">
        <v>35090</v>
      </c>
      <c r="G123" s="106">
        <f t="shared" si="46"/>
        <v>10837151</v>
      </c>
      <c r="H123" s="95"/>
      <c r="I123" s="95"/>
      <c r="J123" s="96"/>
      <c r="K123" s="96"/>
      <c r="L123" s="91"/>
      <c r="M123" s="91"/>
      <c r="N123" s="91"/>
      <c r="O123" s="91"/>
      <c r="P123" s="91"/>
      <c r="Q123" s="91"/>
      <c r="R123" s="97">
        <f t="shared" si="22"/>
        <v>14630153.850000001</v>
      </c>
      <c r="S123" s="98">
        <v>9150642.8999999985</v>
      </c>
      <c r="T123" s="97"/>
      <c r="U123" s="100">
        <f t="shared" si="24"/>
        <v>3413702.5649999999</v>
      </c>
      <c r="V123" s="107">
        <f t="shared" si="25"/>
        <v>14250853.564999999</v>
      </c>
      <c r="W123" s="91"/>
      <c r="X123" s="134">
        <v>291.57127266656892</v>
      </c>
      <c r="Y123" s="106">
        <f t="shared" si="47"/>
        <v>36318.15</v>
      </c>
      <c r="Z123" s="106">
        <f t="shared" si="48"/>
        <v>10589329</v>
      </c>
      <c r="AA123" s="106"/>
      <c r="AB123" s="106"/>
      <c r="AC123" s="106"/>
      <c r="AD123" s="108">
        <f t="shared" si="49"/>
        <v>21426480</v>
      </c>
    </row>
    <row r="124" spans="1:243" ht="15" x14ac:dyDescent="0.2">
      <c r="A124" s="91">
        <v>130111</v>
      </c>
      <c r="B124" s="101" t="s">
        <v>663</v>
      </c>
      <c r="C124" s="102" t="s">
        <v>63</v>
      </c>
      <c r="D124" s="103" t="s">
        <v>35</v>
      </c>
      <c r="E124" s="143">
        <v>466.15147692185099</v>
      </c>
      <c r="F124" s="48">
        <v>7779</v>
      </c>
      <c r="G124" s="106">
        <f t="shared" si="46"/>
        <v>3626192</v>
      </c>
      <c r="H124" s="95"/>
      <c r="I124" s="95"/>
      <c r="J124" s="96"/>
      <c r="K124" s="96"/>
      <c r="L124" s="91"/>
      <c r="M124" s="91"/>
      <c r="N124" s="91"/>
      <c r="O124" s="91"/>
      <c r="P124" s="91"/>
      <c r="Q124" s="91"/>
      <c r="R124" s="97">
        <f t="shared" si="22"/>
        <v>4895359.1999999993</v>
      </c>
      <c r="S124" s="98">
        <v>9521487.8999999985</v>
      </c>
      <c r="T124" s="97"/>
      <c r="U124" s="100">
        <f t="shared" si="24"/>
        <v>1142250.48</v>
      </c>
      <c r="V124" s="107">
        <f t="shared" si="25"/>
        <v>4768442.4800000004</v>
      </c>
      <c r="W124" s="91"/>
      <c r="X124" s="134">
        <v>440.08852307814902</v>
      </c>
      <c r="Y124" s="106">
        <f t="shared" si="47"/>
        <v>8051.2650000000003</v>
      </c>
      <c r="Z124" s="106">
        <f t="shared" si="48"/>
        <v>3543269</v>
      </c>
      <c r="AA124" s="106"/>
      <c r="AB124" s="106"/>
      <c r="AC124" s="106"/>
      <c r="AD124" s="108">
        <f t="shared" si="49"/>
        <v>7169461</v>
      </c>
    </row>
    <row r="125" spans="1:243" ht="15" x14ac:dyDescent="0.2">
      <c r="A125" s="91">
        <v>200102</v>
      </c>
      <c r="B125" s="101" t="s">
        <v>664</v>
      </c>
      <c r="C125" s="102" t="s">
        <v>64</v>
      </c>
      <c r="D125" s="103" t="s">
        <v>8</v>
      </c>
      <c r="E125" s="143">
        <v>465.42620151747701</v>
      </c>
      <c r="F125" s="48">
        <v>35278</v>
      </c>
      <c r="G125" s="106">
        <f t="shared" si="46"/>
        <v>16419306</v>
      </c>
      <c r="H125" s="95"/>
      <c r="I125" s="95"/>
      <c r="J125" s="96"/>
      <c r="K125" s="96"/>
      <c r="L125" s="91"/>
      <c r="M125" s="91"/>
      <c r="N125" s="91"/>
      <c r="O125" s="91"/>
      <c r="P125" s="91"/>
      <c r="Q125" s="91"/>
      <c r="R125" s="97">
        <f t="shared" si="22"/>
        <v>22166063.100000001</v>
      </c>
      <c r="S125" s="98">
        <v>38441231.099999994</v>
      </c>
      <c r="T125" s="97"/>
      <c r="U125" s="100">
        <f t="shared" si="24"/>
        <v>5172081.3899999997</v>
      </c>
      <c r="V125" s="107">
        <f t="shared" si="25"/>
        <v>21591387.390000001</v>
      </c>
      <c r="W125" s="91"/>
      <c r="X125" s="134">
        <v>439.40379848252292</v>
      </c>
      <c r="Y125" s="106">
        <f t="shared" si="47"/>
        <v>36512.730000000003</v>
      </c>
      <c r="Z125" s="106">
        <f t="shared" si="48"/>
        <v>16043832</v>
      </c>
      <c r="AA125" s="106"/>
      <c r="AB125" s="106"/>
      <c r="AC125" s="106"/>
      <c r="AD125" s="108">
        <f t="shared" si="49"/>
        <v>32463138</v>
      </c>
    </row>
    <row r="126" spans="1:243" s="41" customFormat="1" ht="15" x14ac:dyDescent="0.2">
      <c r="A126" s="91">
        <v>200215</v>
      </c>
      <c r="B126" s="101" t="s">
        <v>665</v>
      </c>
      <c r="C126" s="102" t="s">
        <v>145</v>
      </c>
      <c r="D126" s="103" t="s">
        <v>8</v>
      </c>
      <c r="E126" s="143">
        <v>40.481683917891139</v>
      </c>
      <c r="F126" s="48">
        <v>148059</v>
      </c>
      <c r="G126" s="106">
        <f t="shared" si="46"/>
        <v>5993678</v>
      </c>
      <c r="H126" s="117"/>
      <c r="I126" s="117"/>
      <c r="J126" s="118"/>
      <c r="K126" s="118"/>
      <c r="L126" s="119"/>
      <c r="M126" s="119"/>
      <c r="N126" s="119"/>
      <c r="O126" s="119"/>
      <c r="P126" s="119"/>
      <c r="Q126" s="119"/>
      <c r="R126" s="97">
        <f t="shared" si="22"/>
        <v>8091465.3000000007</v>
      </c>
      <c r="S126" s="120">
        <v>8297526.5999999996</v>
      </c>
      <c r="T126" s="121"/>
      <c r="U126" s="100">
        <f t="shared" si="24"/>
        <v>1888008.57</v>
      </c>
      <c r="V126" s="107">
        <f t="shared" si="25"/>
        <v>7881686.5700000003</v>
      </c>
      <c r="W126" s="119"/>
      <c r="X126" s="134">
        <v>38.218316082108849</v>
      </c>
      <c r="Y126" s="106">
        <f t="shared" si="47"/>
        <v>153241.065</v>
      </c>
      <c r="Z126" s="106">
        <f t="shared" si="48"/>
        <v>5856615</v>
      </c>
      <c r="AA126" s="106"/>
      <c r="AB126" s="106"/>
      <c r="AC126" s="106"/>
      <c r="AD126" s="108">
        <f t="shared" si="49"/>
        <v>11850293</v>
      </c>
      <c r="AE126" s="197"/>
      <c r="AF126" s="197"/>
      <c r="AG126" s="197"/>
      <c r="AH126" s="197"/>
      <c r="AI126" s="197"/>
      <c r="AJ126" s="197"/>
      <c r="AK126" s="197"/>
      <c r="AL126" s="197"/>
      <c r="AM126" s="197"/>
      <c r="AN126" s="197"/>
      <c r="AO126" s="197"/>
      <c r="AP126" s="197"/>
      <c r="AQ126" s="197"/>
      <c r="AR126" s="197"/>
      <c r="AS126" s="197"/>
      <c r="AT126" s="197"/>
      <c r="AU126" s="197"/>
      <c r="AV126" s="197"/>
      <c r="AW126" s="197"/>
      <c r="AX126" s="197"/>
      <c r="AY126" s="197"/>
      <c r="AZ126" s="197"/>
      <c r="BA126" s="197"/>
      <c r="BB126" s="197"/>
      <c r="BC126" s="197"/>
      <c r="BD126" s="197"/>
      <c r="BE126" s="197"/>
      <c r="BF126" s="197"/>
      <c r="BG126" s="197"/>
      <c r="BH126" s="197"/>
      <c r="BI126" s="197"/>
      <c r="BJ126" s="197"/>
      <c r="BK126" s="197"/>
      <c r="BL126" s="197"/>
      <c r="BM126" s="197"/>
      <c r="BN126" s="197"/>
      <c r="BO126" s="197"/>
      <c r="BP126" s="197"/>
      <c r="BQ126" s="197"/>
      <c r="BR126" s="197"/>
      <c r="BS126" s="197"/>
      <c r="BT126" s="197"/>
      <c r="BU126" s="197"/>
      <c r="BV126" s="197"/>
      <c r="BW126" s="197"/>
      <c r="BX126" s="197"/>
      <c r="BY126" s="197"/>
      <c r="BZ126" s="197"/>
      <c r="CA126" s="197"/>
      <c r="CB126" s="197"/>
      <c r="CC126" s="197"/>
      <c r="CD126" s="197"/>
      <c r="CE126" s="197"/>
      <c r="CF126" s="197"/>
      <c r="CG126" s="197"/>
      <c r="CH126" s="197"/>
      <c r="CI126" s="197"/>
      <c r="CJ126" s="197"/>
      <c r="CK126" s="197"/>
      <c r="CL126" s="197"/>
      <c r="CM126" s="197"/>
      <c r="CN126" s="197"/>
      <c r="CO126" s="197"/>
      <c r="CP126" s="197"/>
      <c r="CQ126" s="197"/>
      <c r="CR126" s="197"/>
      <c r="CS126" s="197"/>
      <c r="CT126" s="197"/>
      <c r="CU126" s="197"/>
      <c r="CV126" s="197"/>
      <c r="CW126" s="197"/>
      <c r="CX126" s="197"/>
      <c r="CY126" s="197"/>
      <c r="CZ126" s="197"/>
      <c r="DA126" s="197"/>
      <c r="DB126" s="197"/>
      <c r="DC126" s="197"/>
      <c r="DD126" s="197"/>
      <c r="DE126" s="197"/>
      <c r="DF126" s="197"/>
      <c r="DG126" s="197"/>
      <c r="DH126" s="197"/>
      <c r="DI126" s="197"/>
      <c r="DJ126" s="197"/>
      <c r="DK126" s="197"/>
      <c r="DL126" s="197"/>
      <c r="DM126" s="197"/>
      <c r="DN126" s="197"/>
      <c r="DO126" s="197"/>
      <c r="DP126" s="197"/>
      <c r="DQ126" s="197"/>
      <c r="DR126" s="197"/>
      <c r="DS126" s="197"/>
      <c r="DT126" s="197"/>
      <c r="DU126" s="197"/>
      <c r="DV126" s="197"/>
      <c r="DW126" s="197"/>
      <c r="DX126" s="197"/>
      <c r="DY126" s="197"/>
      <c r="DZ126" s="197"/>
      <c r="EA126" s="197"/>
      <c r="EB126" s="197"/>
      <c r="EC126" s="197"/>
      <c r="ED126" s="197"/>
      <c r="EE126" s="197"/>
      <c r="EF126" s="197"/>
      <c r="EG126" s="197"/>
      <c r="EH126" s="197"/>
      <c r="EI126" s="197"/>
      <c r="EJ126" s="197"/>
      <c r="EK126" s="197"/>
      <c r="EL126" s="197"/>
      <c r="EM126" s="197"/>
      <c r="EN126" s="197"/>
      <c r="EO126" s="197"/>
      <c r="EP126" s="197"/>
      <c r="EQ126" s="197"/>
      <c r="ER126" s="197"/>
      <c r="ES126" s="197"/>
      <c r="ET126" s="197"/>
      <c r="EU126" s="197"/>
      <c r="EV126" s="197"/>
      <c r="EW126" s="197"/>
      <c r="EX126" s="197"/>
      <c r="EY126" s="197"/>
      <c r="EZ126" s="197"/>
      <c r="FA126" s="197"/>
      <c r="FB126" s="197"/>
      <c r="FC126" s="197"/>
      <c r="FD126" s="197"/>
      <c r="FE126" s="197"/>
      <c r="FF126" s="197"/>
      <c r="FG126" s="197"/>
      <c r="FH126" s="197"/>
      <c r="FI126" s="197"/>
      <c r="FJ126" s="197"/>
      <c r="FK126" s="197"/>
      <c r="FL126" s="197"/>
      <c r="FM126" s="197"/>
      <c r="FN126" s="197"/>
      <c r="FO126" s="197"/>
      <c r="FP126" s="197"/>
      <c r="FQ126" s="197"/>
      <c r="FR126" s="197"/>
      <c r="FS126" s="197"/>
      <c r="FT126" s="197"/>
      <c r="FU126" s="197"/>
      <c r="FV126" s="197"/>
      <c r="FW126" s="197"/>
      <c r="FX126" s="197"/>
      <c r="FY126" s="197"/>
      <c r="FZ126" s="197"/>
      <c r="GA126" s="197"/>
      <c r="GB126" s="197"/>
      <c r="GC126" s="197"/>
      <c r="GD126" s="197"/>
      <c r="GE126" s="197"/>
      <c r="GF126" s="197"/>
      <c r="GG126" s="197"/>
      <c r="GH126" s="197"/>
      <c r="GI126" s="197"/>
      <c r="GJ126" s="197"/>
      <c r="GK126" s="197"/>
      <c r="GL126" s="197"/>
      <c r="GM126" s="197"/>
      <c r="GN126" s="197"/>
      <c r="GO126" s="197"/>
      <c r="GP126" s="197"/>
      <c r="GQ126" s="197"/>
      <c r="GR126" s="197"/>
      <c r="GS126" s="197"/>
      <c r="GT126" s="197"/>
      <c r="GU126" s="197"/>
      <c r="GV126" s="197"/>
      <c r="GW126" s="197"/>
      <c r="GX126" s="197"/>
      <c r="GY126" s="197"/>
      <c r="GZ126" s="197"/>
      <c r="HA126" s="197"/>
      <c r="HB126" s="197"/>
      <c r="HC126" s="197"/>
      <c r="HD126" s="197"/>
      <c r="HE126" s="197"/>
      <c r="HF126" s="197"/>
      <c r="HG126" s="197"/>
      <c r="HH126" s="197"/>
      <c r="HI126" s="197"/>
      <c r="HJ126" s="197"/>
      <c r="HK126" s="197"/>
      <c r="HL126" s="197"/>
      <c r="HM126" s="197"/>
      <c r="HN126" s="197"/>
      <c r="HO126" s="197"/>
      <c r="HP126" s="197"/>
      <c r="HQ126" s="197"/>
      <c r="HR126" s="197"/>
      <c r="HS126" s="197"/>
      <c r="HT126" s="197"/>
      <c r="HU126" s="197"/>
      <c r="HV126" s="197"/>
      <c r="HW126" s="197"/>
      <c r="HX126" s="197"/>
      <c r="HY126" s="197"/>
      <c r="HZ126" s="197"/>
      <c r="IA126" s="197"/>
      <c r="IB126" s="197"/>
      <c r="IC126" s="197"/>
      <c r="ID126" s="197"/>
      <c r="IE126" s="197"/>
      <c r="IF126" s="197"/>
      <c r="IG126" s="197"/>
      <c r="IH126" s="197"/>
      <c r="II126" s="197"/>
    </row>
    <row r="127" spans="1:243" ht="15" x14ac:dyDescent="0.2">
      <c r="A127" s="91">
        <v>200209</v>
      </c>
      <c r="B127" s="101" t="s">
        <v>666</v>
      </c>
      <c r="C127" s="102" t="s">
        <v>121</v>
      </c>
      <c r="D127" s="103" t="s">
        <v>8</v>
      </c>
      <c r="E127" s="143">
        <v>424.94451759958594</v>
      </c>
      <c r="F127" s="48">
        <v>108307</v>
      </c>
      <c r="G127" s="106">
        <f t="shared" si="46"/>
        <v>46024466</v>
      </c>
      <c r="H127" s="95"/>
      <c r="I127" s="95"/>
      <c r="J127" s="96"/>
      <c r="K127" s="96"/>
      <c r="L127" s="91"/>
      <c r="M127" s="91"/>
      <c r="N127" s="91"/>
      <c r="O127" s="91"/>
      <c r="P127" s="91"/>
      <c r="Q127" s="91"/>
      <c r="R127" s="97">
        <f t="shared" si="22"/>
        <v>62133029.099999994</v>
      </c>
      <c r="S127" s="98">
        <v>106554706.067376</v>
      </c>
      <c r="T127" s="97"/>
      <c r="U127" s="100">
        <f t="shared" si="24"/>
        <v>14497706.790000001</v>
      </c>
      <c r="V127" s="107">
        <f t="shared" si="25"/>
        <v>60522172.789999999</v>
      </c>
      <c r="W127" s="91"/>
      <c r="X127" s="134">
        <v>401.18548240041406</v>
      </c>
      <c r="Y127" s="106">
        <f t="shared" si="47"/>
        <v>112097.745</v>
      </c>
      <c r="Z127" s="106">
        <f t="shared" si="48"/>
        <v>44971988</v>
      </c>
      <c r="AA127" s="106"/>
      <c r="AB127" s="106"/>
      <c r="AC127" s="106"/>
      <c r="AD127" s="108">
        <f t="shared" si="49"/>
        <v>90996454</v>
      </c>
    </row>
    <row r="128" spans="1:243" ht="15" x14ac:dyDescent="0.2">
      <c r="A128" s="91">
        <v>310201</v>
      </c>
      <c r="B128" s="101" t="s">
        <v>667</v>
      </c>
      <c r="C128" s="102" t="s">
        <v>65</v>
      </c>
      <c r="D128" s="103" t="s">
        <v>8</v>
      </c>
      <c r="E128" s="143">
        <v>424.94451759958594</v>
      </c>
      <c r="F128" s="48">
        <v>6571</v>
      </c>
      <c r="G128" s="106">
        <f t="shared" si="46"/>
        <v>2792310</v>
      </c>
      <c r="H128" s="95"/>
      <c r="I128" s="95"/>
      <c r="J128" s="96"/>
      <c r="K128" s="96"/>
      <c r="L128" s="91"/>
      <c r="M128" s="91"/>
      <c r="N128" s="91"/>
      <c r="O128" s="91"/>
      <c r="P128" s="91"/>
      <c r="Q128" s="91"/>
      <c r="R128" s="97">
        <f t="shared" si="22"/>
        <v>3769618.5</v>
      </c>
      <c r="S128" s="98">
        <v>5450110.6500000004</v>
      </c>
      <c r="T128" s="97"/>
      <c r="U128" s="100">
        <f t="shared" si="24"/>
        <v>879577.65</v>
      </c>
      <c r="V128" s="107">
        <f t="shared" si="25"/>
        <v>3671887.65</v>
      </c>
      <c r="W128" s="91"/>
      <c r="X128" s="134">
        <v>401.18548240041406</v>
      </c>
      <c r="Y128" s="106">
        <f t="shared" si="47"/>
        <v>6800.9849999999997</v>
      </c>
      <c r="Z128" s="106">
        <f t="shared" si="48"/>
        <v>2728456</v>
      </c>
      <c r="AA128" s="106"/>
      <c r="AB128" s="106"/>
      <c r="AC128" s="106"/>
      <c r="AD128" s="108">
        <f t="shared" si="49"/>
        <v>5520766</v>
      </c>
    </row>
    <row r="129" spans="1:30" ht="15" x14ac:dyDescent="0.2">
      <c r="A129" s="91"/>
      <c r="B129" s="111" t="s">
        <v>72</v>
      </c>
      <c r="C129" s="93" t="s">
        <v>358</v>
      </c>
      <c r="D129" s="125"/>
      <c r="E129" s="140"/>
      <c r="F129" s="126"/>
      <c r="G129" s="113">
        <f>SUM(G130:G130)</f>
        <v>0</v>
      </c>
      <c r="H129" s="95"/>
      <c r="I129" s="95"/>
      <c r="J129" s="96"/>
      <c r="K129" s="96"/>
      <c r="L129" s="91"/>
      <c r="M129" s="91"/>
      <c r="N129" s="91"/>
      <c r="O129" s="91"/>
      <c r="P129" s="91"/>
      <c r="Q129" s="91"/>
      <c r="R129" s="142">
        <f t="shared" si="22"/>
        <v>0</v>
      </c>
      <c r="S129" s="98">
        <v>15033519</v>
      </c>
      <c r="T129" s="97"/>
      <c r="U129" s="100">
        <f t="shared" si="24"/>
        <v>0</v>
      </c>
      <c r="V129" s="107"/>
      <c r="W129" s="91"/>
      <c r="X129" s="113"/>
      <c r="Y129" s="113"/>
      <c r="Z129" s="113">
        <f>SUM(Z130:Z130)</f>
        <v>21997239</v>
      </c>
      <c r="AA129" s="113"/>
      <c r="AB129" s="113"/>
      <c r="AC129" s="113"/>
      <c r="AD129" s="94">
        <f>G129+Z129+AC129</f>
        <v>21997239</v>
      </c>
    </row>
    <row r="130" spans="1:30" ht="15" x14ac:dyDescent="0.2">
      <c r="A130" s="91">
        <v>200813</v>
      </c>
      <c r="B130" s="101" t="s">
        <v>668</v>
      </c>
      <c r="C130" s="102" t="s">
        <v>333</v>
      </c>
      <c r="D130" s="103" t="s">
        <v>11</v>
      </c>
      <c r="E130" s="104">
        <v>0</v>
      </c>
      <c r="F130" s="48">
        <v>34176</v>
      </c>
      <c r="G130" s="106">
        <f t="shared" si="46"/>
        <v>0</v>
      </c>
      <c r="H130" s="95"/>
      <c r="I130" s="95"/>
      <c r="J130" s="96"/>
      <c r="K130" s="96"/>
      <c r="L130" s="91"/>
      <c r="M130" s="91"/>
      <c r="N130" s="91"/>
      <c r="O130" s="91"/>
      <c r="P130" s="91"/>
      <c r="Q130" s="91"/>
      <c r="R130" s="97">
        <f t="shared" si="22"/>
        <v>0</v>
      </c>
      <c r="S130" s="98">
        <v>15033519</v>
      </c>
      <c r="T130" s="97"/>
      <c r="U130" s="100">
        <f t="shared" si="24"/>
        <v>0</v>
      </c>
      <c r="V130" s="107">
        <f t="shared" si="25"/>
        <v>0</v>
      </c>
      <c r="W130" s="91"/>
      <c r="X130" s="132">
        <v>621.88000000000011</v>
      </c>
      <c r="Y130" s="106">
        <f t="shared" ref="Y130" si="50">(F130*3.5%)+F130</f>
        <v>35372.160000000003</v>
      </c>
      <c r="Z130" s="106">
        <f t="shared" si="48"/>
        <v>21997239</v>
      </c>
      <c r="AA130" s="106"/>
      <c r="AB130" s="106"/>
      <c r="AC130" s="106"/>
      <c r="AD130" s="108">
        <f>G130+Z130+AC130</f>
        <v>21997239</v>
      </c>
    </row>
    <row r="131" spans="1:30" ht="15" x14ac:dyDescent="0.2">
      <c r="A131" s="91"/>
      <c r="B131" s="111" t="s">
        <v>73</v>
      </c>
      <c r="C131" s="93" t="s">
        <v>359</v>
      </c>
      <c r="D131" s="125"/>
      <c r="E131" s="140"/>
      <c r="F131" s="126"/>
      <c r="G131" s="113">
        <f>SUM(G132)</f>
        <v>0</v>
      </c>
      <c r="H131" s="95"/>
      <c r="I131" s="95"/>
      <c r="J131" s="96"/>
      <c r="K131" s="96"/>
      <c r="L131" s="91"/>
      <c r="M131" s="91"/>
      <c r="N131" s="91"/>
      <c r="O131" s="91"/>
      <c r="P131" s="91"/>
      <c r="Q131" s="91"/>
      <c r="R131" s="142">
        <f t="shared" si="22"/>
        <v>0</v>
      </c>
      <c r="S131" s="98">
        <v>1289889.8999999999</v>
      </c>
      <c r="T131" s="97"/>
      <c r="U131" s="100">
        <f t="shared" si="24"/>
        <v>0</v>
      </c>
      <c r="V131" s="107"/>
      <c r="W131" s="91"/>
      <c r="X131" s="113"/>
      <c r="Y131" s="113"/>
      <c r="Z131" s="113">
        <f>SUM(Z132)</f>
        <v>1538319</v>
      </c>
      <c r="AA131" s="113"/>
      <c r="AB131" s="113"/>
      <c r="AC131" s="113"/>
      <c r="AD131" s="94">
        <f>G131+Z131+AC131</f>
        <v>1538319</v>
      </c>
    </row>
    <row r="132" spans="1:30" ht="15" x14ac:dyDescent="0.2">
      <c r="A132" s="91">
        <v>200911</v>
      </c>
      <c r="B132" s="101" t="s">
        <v>669</v>
      </c>
      <c r="C132" s="102" t="s">
        <v>360</v>
      </c>
      <c r="D132" s="103" t="s">
        <v>11</v>
      </c>
      <c r="E132" s="104">
        <v>0</v>
      </c>
      <c r="F132" s="48">
        <v>221505</v>
      </c>
      <c r="G132" s="106">
        <f t="shared" ref="G132" si="51">ROUND(E132*F132,0)</f>
        <v>0</v>
      </c>
      <c r="H132" s="95"/>
      <c r="I132" s="95"/>
      <c r="J132" s="96"/>
      <c r="K132" s="96"/>
      <c r="L132" s="91"/>
      <c r="M132" s="91"/>
      <c r="N132" s="91"/>
      <c r="O132" s="91"/>
      <c r="P132" s="91"/>
      <c r="Q132" s="91"/>
      <c r="R132" s="97">
        <f t="shared" si="22"/>
        <v>0</v>
      </c>
      <c r="S132" s="98">
        <v>1289889.8999999999</v>
      </c>
      <c r="T132" s="97"/>
      <c r="U132" s="100">
        <f t="shared" si="24"/>
        <v>0</v>
      </c>
      <c r="V132" s="107">
        <f t="shared" si="25"/>
        <v>0</v>
      </c>
      <c r="W132" s="91"/>
      <c r="X132" s="132">
        <v>6.71</v>
      </c>
      <c r="Y132" s="106">
        <f t="shared" ref="Y132" si="52">(F132*3.5%)+F132</f>
        <v>229257.67499999999</v>
      </c>
      <c r="Z132" s="106">
        <f t="shared" si="48"/>
        <v>1538319</v>
      </c>
      <c r="AA132" s="106"/>
      <c r="AB132" s="106"/>
      <c r="AC132" s="106"/>
      <c r="AD132" s="108">
        <f>G132+Z132+AC132</f>
        <v>1538319</v>
      </c>
    </row>
    <row r="133" spans="1:30" ht="15" customHeight="1" x14ac:dyDescent="0.2">
      <c r="A133" s="91"/>
      <c r="B133" s="103"/>
      <c r="C133" s="207" t="s">
        <v>99</v>
      </c>
      <c r="D133" s="207"/>
      <c r="E133" s="207"/>
      <c r="F133" s="208"/>
      <c r="G133" s="123">
        <f>SUM(G121:N132)/2</f>
        <v>112866896</v>
      </c>
      <c r="H133" s="95"/>
      <c r="I133" s="95"/>
      <c r="J133" s="96"/>
      <c r="K133" s="96"/>
      <c r="L133" s="91"/>
      <c r="M133" s="91"/>
      <c r="N133" s="91"/>
      <c r="O133" s="91"/>
      <c r="P133" s="91"/>
      <c r="Q133" s="91"/>
      <c r="R133" s="121">
        <f t="shared" ref="R133:R200" si="53">(G133*0.3)+G133+(G133*0.05)</f>
        <v>152370309.60000002</v>
      </c>
      <c r="S133" s="98">
        <v>249403998.91737595</v>
      </c>
      <c r="T133" s="97"/>
      <c r="U133" s="100">
        <f t="shared" si="24"/>
        <v>35553072.240000002</v>
      </c>
      <c r="V133" s="107"/>
      <c r="W133" s="91"/>
      <c r="X133" s="123"/>
      <c r="Y133" s="123"/>
      <c r="Z133" s="123">
        <f>SUM(Z121:Z132)/2</f>
        <v>133821435</v>
      </c>
      <c r="AA133" s="123"/>
      <c r="AB133" s="123"/>
      <c r="AC133" s="123"/>
      <c r="AD133" s="123">
        <f>SUM(AD121:AD132)/2</f>
        <v>246688331</v>
      </c>
    </row>
    <row r="134" spans="1:30" x14ac:dyDescent="0.2">
      <c r="A134" s="91"/>
      <c r="B134" s="103"/>
      <c r="C134" s="102"/>
      <c r="D134" s="103"/>
      <c r="E134" s="102"/>
      <c r="F134" s="106"/>
      <c r="G134" s="110"/>
      <c r="H134" s="95"/>
      <c r="I134" s="95"/>
      <c r="J134" s="96"/>
      <c r="K134" s="96"/>
      <c r="L134" s="91"/>
      <c r="M134" s="91"/>
      <c r="N134" s="91"/>
      <c r="O134" s="91"/>
      <c r="P134" s="91"/>
      <c r="Q134" s="91"/>
      <c r="R134" s="97">
        <f t="shared" si="53"/>
        <v>0</v>
      </c>
      <c r="S134" s="98">
        <v>0</v>
      </c>
      <c r="T134" s="97"/>
      <c r="U134" s="100">
        <f t="shared" si="24"/>
        <v>0</v>
      </c>
      <c r="V134" s="107">
        <f t="shared" si="25"/>
        <v>0</v>
      </c>
      <c r="W134" s="91"/>
      <c r="X134" s="91"/>
      <c r="Y134" s="91"/>
      <c r="Z134" s="129"/>
      <c r="AA134" s="91"/>
      <c r="AB134" s="91"/>
      <c r="AC134" s="91"/>
      <c r="AD134" s="91"/>
    </row>
    <row r="135" spans="1:30" ht="30" customHeight="1" x14ac:dyDescent="0.2">
      <c r="A135" s="91"/>
      <c r="B135" s="86">
        <v>9</v>
      </c>
      <c r="C135" s="209" t="s">
        <v>1011</v>
      </c>
      <c r="D135" s="209"/>
      <c r="E135" s="209"/>
      <c r="F135" s="210"/>
      <c r="G135" s="124"/>
      <c r="H135" s="95"/>
      <c r="I135" s="95"/>
      <c r="J135" s="96"/>
      <c r="K135" s="96"/>
      <c r="L135" s="91"/>
      <c r="M135" s="91"/>
      <c r="N135" s="91"/>
      <c r="O135" s="91"/>
      <c r="P135" s="91"/>
      <c r="Q135" s="91"/>
      <c r="R135" s="97">
        <f t="shared" si="53"/>
        <v>0</v>
      </c>
      <c r="S135" s="98">
        <v>0</v>
      </c>
      <c r="T135" s="97"/>
      <c r="U135" s="100">
        <f t="shared" si="24"/>
        <v>0</v>
      </c>
      <c r="V135" s="107">
        <f t="shared" si="25"/>
        <v>0</v>
      </c>
      <c r="W135" s="91"/>
      <c r="X135" s="124"/>
      <c r="Y135" s="124"/>
      <c r="Z135" s="124"/>
      <c r="AA135" s="124"/>
      <c r="AB135" s="124"/>
      <c r="AC135" s="124"/>
      <c r="AD135" s="124"/>
    </row>
    <row r="136" spans="1:30" ht="15" x14ac:dyDescent="0.2">
      <c r="A136" s="91"/>
      <c r="B136" s="111" t="s">
        <v>109</v>
      </c>
      <c r="C136" s="93" t="s">
        <v>619</v>
      </c>
      <c r="D136" s="125"/>
      <c r="E136" s="140"/>
      <c r="F136" s="126"/>
      <c r="G136" s="113">
        <f>SUM(G137:G137)</f>
        <v>0</v>
      </c>
      <c r="H136" s="95"/>
      <c r="I136" s="95"/>
      <c r="J136" s="96"/>
      <c r="K136" s="96"/>
      <c r="L136" s="91"/>
      <c r="M136" s="91"/>
      <c r="N136" s="91"/>
      <c r="O136" s="91"/>
      <c r="P136" s="91"/>
      <c r="Q136" s="91"/>
      <c r="R136" s="142">
        <f t="shared" si="53"/>
        <v>0</v>
      </c>
      <c r="S136" s="98">
        <v>1520706.15</v>
      </c>
      <c r="T136" s="97"/>
      <c r="U136" s="100">
        <f t="shared" si="24"/>
        <v>0</v>
      </c>
      <c r="V136" s="107"/>
      <c r="W136" s="91"/>
      <c r="X136" s="113"/>
      <c r="Y136" s="113"/>
      <c r="Z136" s="113">
        <f>SUM(Z137:Z137)</f>
        <v>1656849</v>
      </c>
      <c r="AA136" s="113"/>
      <c r="AB136" s="113"/>
      <c r="AC136" s="113"/>
      <c r="AD136" s="94">
        <f>G136+Z136+AC136</f>
        <v>1656849</v>
      </c>
    </row>
    <row r="137" spans="1:30" ht="15" x14ac:dyDescent="0.2">
      <c r="A137" s="91">
        <v>180211</v>
      </c>
      <c r="B137" s="101" t="s">
        <v>76</v>
      </c>
      <c r="C137" s="102" t="s">
        <v>620</v>
      </c>
      <c r="D137" s="103" t="s">
        <v>8</v>
      </c>
      <c r="E137" s="109"/>
      <c r="F137" s="48">
        <v>80041</v>
      </c>
      <c r="G137" s="106">
        <f>ROUND(E137*F137,0)</f>
        <v>0</v>
      </c>
      <c r="H137" s="95"/>
      <c r="I137" s="95"/>
      <c r="J137" s="96"/>
      <c r="K137" s="96"/>
      <c r="L137" s="91"/>
      <c r="M137" s="91"/>
      <c r="N137" s="91"/>
      <c r="O137" s="91"/>
      <c r="P137" s="91"/>
      <c r="Q137" s="91"/>
      <c r="R137" s="97">
        <f t="shared" si="53"/>
        <v>0</v>
      </c>
      <c r="S137" s="98">
        <v>1520706.15</v>
      </c>
      <c r="T137" s="97"/>
      <c r="U137" s="100">
        <f t="shared" ref="U137:U200" si="54">+G137*$U$7</f>
        <v>0</v>
      </c>
      <c r="V137" s="107">
        <f t="shared" ref="V137:V200" si="55">+G137+U137</f>
        <v>0</v>
      </c>
      <c r="W137" s="91"/>
      <c r="X137" s="132">
        <v>20</v>
      </c>
      <c r="Y137" s="106">
        <f>(F137*3.5%)+F137</f>
        <v>82842.434999999998</v>
      </c>
      <c r="Z137" s="106">
        <f t="shared" ref="Z137" si="56">ROUND(X137*Y137,0)</f>
        <v>1656849</v>
      </c>
      <c r="AA137" s="106"/>
      <c r="AB137" s="106"/>
      <c r="AC137" s="106"/>
      <c r="AD137" s="108">
        <f>G137+Z137+AC137</f>
        <v>1656849</v>
      </c>
    </row>
    <row r="138" spans="1:30" x14ac:dyDescent="0.2">
      <c r="A138" s="91"/>
      <c r="B138" s="103"/>
      <c r="C138" s="102"/>
      <c r="D138" s="103"/>
      <c r="E138" s="102"/>
      <c r="F138" s="106"/>
      <c r="G138" s="110"/>
      <c r="H138" s="95"/>
      <c r="I138" s="95"/>
      <c r="J138" s="96"/>
      <c r="K138" s="96"/>
      <c r="L138" s="91"/>
      <c r="M138" s="91"/>
      <c r="N138" s="91"/>
      <c r="O138" s="91"/>
      <c r="P138" s="91"/>
      <c r="Q138" s="91"/>
      <c r="R138" s="97">
        <f t="shared" si="53"/>
        <v>0</v>
      </c>
      <c r="S138" s="98">
        <v>0</v>
      </c>
      <c r="T138" s="97"/>
      <c r="U138" s="100">
        <f t="shared" si="54"/>
        <v>0</v>
      </c>
      <c r="V138" s="107">
        <f t="shared" si="55"/>
        <v>0</v>
      </c>
      <c r="W138" s="91"/>
      <c r="X138" s="110"/>
      <c r="Y138" s="110"/>
      <c r="Z138" s="110"/>
      <c r="AA138" s="110"/>
      <c r="AB138" s="110"/>
      <c r="AC138" s="110"/>
      <c r="AD138" s="110"/>
    </row>
    <row r="139" spans="1:30" ht="15" x14ac:dyDescent="0.2">
      <c r="A139" s="91"/>
      <c r="B139" s="111" t="s">
        <v>1012</v>
      </c>
      <c r="C139" s="93" t="s">
        <v>1061</v>
      </c>
      <c r="D139" s="125"/>
      <c r="E139" s="140"/>
      <c r="F139" s="126"/>
      <c r="G139" s="113">
        <f>SUM(G140:G142)</f>
        <v>0</v>
      </c>
      <c r="H139" s="95"/>
      <c r="I139" s="95"/>
      <c r="J139" s="96"/>
      <c r="K139" s="96"/>
      <c r="L139" s="91"/>
      <c r="M139" s="91"/>
      <c r="N139" s="91"/>
      <c r="O139" s="91"/>
      <c r="P139" s="91"/>
      <c r="Q139" s="91"/>
      <c r="R139" s="142">
        <f t="shared" si="53"/>
        <v>0</v>
      </c>
      <c r="S139" s="98">
        <v>3238141.05</v>
      </c>
      <c r="T139" s="97"/>
      <c r="U139" s="100">
        <f t="shared" si="54"/>
        <v>0</v>
      </c>
      <c r="V139" s="107"/>
      <c r="W139" s="91"/>
      <c r="X139" s="113"/>
      <c r="Y139" s="113"/>
      <c r="Z139" s="113">
        <f>SUM(Z140:Z142)</f>
        <v>4132115</v>
      </c>
      <c r="AA139" s="113"/>
      <c r="AB139" s="113"/>
      <c r="AC139" s="113"/>
      <c r="AD139" s="94">
        <f>G139+Z139+AC139</f>
        <v>4132115</v>
      </c>
    </row>
    <row r="140" spans="1:30" ht="15" x14ac:dyDescent="0.2">
      <c r="A140" s="91">
        <v>180919</v>
      </c>
      <c r="B140" s="101" t="s">
        <v>1013</v>
      </c>
      <c r="C140" s="102" t="s">
        <v>621</v>
      </c>
      <c r="D140" s="103" t="s">
        <v>8</v>
      </c>
      <c r="E140" s="109"/>
      <c r="F140" s="48">
        <v>174733</v>
      </c>
      <c r="G140" s="106">
        <f>ROUND(E140*F140,0)</f>
        <v>0</v>
      </c>
      <c r="H140" s="95"/>
      <c r="I140" s="95"/>
      <c r="J140" s="96"/>
      <c r="K140" s="96"/>
      <c r="L140" s="91"/>
      <c r="M140" s="91"/>
      <c r="N140" s="91"/>
      <c r="O140" s="91"/>
      <c r="P140" s="91"/>
      <c r="Q140" s="91"/>
      <c r="R140" s="97">
        <f t="shared" si="53"/>
        <v>0</v>
      </c>
      <c r="S140" s="98">
        <v>2774166.3</v>
      </c>
      <c r="T140" s="97"/>
      <c r="U140" s="100">
        <f t="shared" si="54"/>
        <v>0</v>
      </c>
      <c r="V140" s="107">
        <f t="shared" si="55"/>
        <v>0</v>
      </c>
      <c r="W140" s="91"/>
      <c r="X140" s="132">
        <v>20</v>
      </c>
      <c r="Y140" s="106">
        <f>(F140*3.5%)+F140</f>
        <v>180848.655</v>
      </c>
      <c r="Z140" s="106">
        <f t="shared" ref="Z140:Z142" si="57">ROUND(X140*Y140,0)</f>
        <v>3616973</v>
      </c>
      <c r="AA140" s="106"/>
      <c r="AB140" s="106"/>
      <c r="AC140" s="106"/>
      <c r="AD140" s="108">
        <f t="shared" ref="AD140:AD142" si="58">G140+Z140+AC140</f>
        <v>3616973</v>
      </c>
    </row>
    <row r="141" spans="1:30" ht="15" x14ac:dyDescent="0.2">
      <c r="A141" s="91">
        <v>180920</v>
      </c>
      <c r="B141" s="101" t="s">
        <v>1014</v>
      </c>
      <c r="C141" s="102" t="s">
        <v>622</v>
      </c>
      <c r="D141" s="103" t="s">
        <v>11</v>
      </c>
      <c r="E141" s="109"/>
      <c r="F141" s="48">
        <v>24143</v>
      </c>
      <c r="G141" s="106">
        <f t="shared" ref="G141:G142" si="59">ROUND(E141*F141,0)</f>
        <v>0</v>
      </c>
      <c r="H141" s="95"/>
      <c r="I141" s="95"/>
      <c r="J141" s="96"/>
      <c r="K141" s="96"/>
      <c r="L141" s="91"/>
      <c r="M141" s="91"/>
      <c r="N141" s="91"/>
      <c r="O141" s="91"/>
      <c r="P141" s="91"/>
      <c r="Q141" s="91"/>
      <c r="R141" s="97">
        <f t="shared" si="53"/>
        <v>0</v>
      </c>
      <c r="S141" s="98">
        <v>149627.25</v>
      </c>
      <c r="T141" s="97"/>
      <c r="U141" s="100">
        <f t="shared" si="54"/>
        <v>0</v>
      </c>
      <c r="V141" s="107">
        <f t="shared" si="55"/>
        <v>0</v>
      </c>
      <c r="W141" s="91"/>
      <c r="X141" s="132">
        <v>5.68</v>
      </c>
      <c r="Y141" s="106">
        <f>(F141*3.5%)+F141</f>
        <v>24988.005000000001</v>
      </c>
      <c r="Z141" s="106">
        <f t="shared" si="57"/>
        <v>141932</v>
      </c>
      <c r="AA141" s="106"/>
      <c r="AB141" s="106"/>
      <c r="AC141" s="106"/>
      <c r="AD141" s="108">
        <f t="shared" si="58"/>
        <v>141932</v>
      </c>
    </row>
    <row r="142" spans="1:30" ht="15" x14ac:dyDescent="0.2">
      <c r="A142" s="91">
        <v>180917</v>
      </c>
      <c r="B142" s="101" t="s">
        <v>1015</v>
      </c>
      <c r="C142" s="102" t="s">
        <v>623</v>
      </c>
      <c r="D142" s="103" t="s">
        <v>11</v>
      </c>
      <c r="E142" s="109"/>
      <c r="F142" s="48">
        <v>63484</v>
      </c>
      <c r="G142" s="106">
        <f t="shared" si="59"/>
        <v>0</v>
      </c>
      <c r="H142" s="95"/>
      <c r="I142" s="95"/>
      <c r="J142" s="96"/>
      <c r="K142" s="96"/>
      <c r="L142" s="91"/>
      <c r="M142" s="91"/>
      <c r="N142" s="91"/>
      <c r="O142" s="91"/>
      <c r="P142" s="91"/>
      <c r="Q142" s="91"/>
      <c r="R142" s="97">
        <f t="shared" si="53"/>
        <v>0</v>
      </c>
      <c r="S142" s="98">
        <v>314347.5</v>
      </c>
      <c r="T142" s="97"/>
      <c r="U142" s="100">
        <f t="shared" si="54"/>
        <v>0</v>
      </c>
      <c r="V142" s="107">
        <f t="shared" si="55"/>
        <v>0</v>
      </c>
      <c r="W142" s="91"/>
      <c r="X142" s="132">
        <v>5.68</v>
      </c>
      <c r="Y142" s="106">
        <f>(F142*3.5%)+F142</f>
        <v>65705.94</v>
      </c>
      <c r="Z142" s="106">
        <f t="shared" si="57"/>
        <v>373210</v>
      </c>
      <c r="AA142" s="106"/>
      <c r="AB142" s="106"/>
      <c r="AC142" s="106"/>
      <c r="AD142" s="108">
        <f t="shared" si="58"/>
        <v>373210</v>
      </c>
    </row>
    <row r="143" spans="1:30" x14ac:dyDescent="0.2">
      <c r="A143" s="91"/>
      <c r="B143" s="103"/>
      <c r="C143" s="102"/>
      <c r="D143" s="103"/>
      <c r="E143" s="102"/>
      <c r="F143" s="106"/>
      <c r="G143" s="110"/>
      <c r="H143" s="95"/>
      <c r="I143" s="95"/>
      <c r="J143" s="96"/>
      <c r="K143" s="96"/>
      <c r="L143" s="91"/>
      <c r="M143" s="91"/>
      <c r="N143" s="91"/>
      <c r="O143" s="91"/>
      <c r="P143" s="91"/>
      <c r="Q143" s="91"/>
      <c r="R143" s="97">
        <f t="shared" si="53"/>
        <v>0</v>
      </c>
      <c r="S143" s="98">
        <v>0</v>
      </c>
      <c r="T143" s="97"/>
      <c r="U143" s="100">
        <f t="shared" si="54"/>
        <v>0</v>
      </c>
      <c r="V143" s="107">
        <f t="shared" si="55"/>
        <v>0</v>
      </c>
      <c r="W143" s="91"/>
      <c r="X143" s="110"/>
      <c r="Y143" s="110"/>
      <c r="Z143" s="110"/>
      <c r="AA143" s="110"/>
      <c r="AB143" s="110"/>
      <c r="AC143" s="110"/>
      <c r="AD143" s="110"/>
    </row>
    <row r="144" spans="1:30" ht="15" x14ac:dyDescent="0.2">
      <c r="A144" s="91"/>
      <c r="B144" s="111" t="s">
        <v>1016</v>
      </c>
      <c r="C144" s="93" t="s">
        <v>616</v>
      </c>
      <c r="D144" s="125"/>
      <c r="E144" s="140"/>
      <c r="F144" s="126"/>
      <c r="G144" s="113">
        <f>SUM(G145:G145)</f>
        <v>0</v>
      </c>
      <c r="H144" s="95"/>
      <c r="I144" s="95"/>
      <c r="J144" s="96"/>
      <c r="K144" s="96"/>
      <c r="L144" s="91"/>
      <c r="M144" s="91"/>
      <c r="N144" s="91"/>
      <c r="O144" s="91"/>
      <c r="P144" s="91"/>
      <c r="Q144" s="91"/>
      <c r="R144" s="142">
        <f t="shared" si="53"/>
        <v>0</v>
      </c>
      <c r="S144" s="98">
        <v>99229958.550000012</v>
      </c>
      <c r="T144" s="97"/>
      <c r="U144" s="100">
        <f t="shared" si="54"/>
        <v>0</v>
      </c>
      <c r="V144" s="107"/>
      <c r="W144" s="91"/>
      <c r="X144" s="113"/>
      <c r="Y144" s="113"/>
      <c r="Z144" s="113">
        <f>SUM(Z145:Z145)</f>
        <v>90560096</v>
      </c>
      <c r="AA144" s="113"/>
      <c r="AB144" s="113"/>
      <c r="AC144" s="113"/>
      <c r="AD144" s="94">
        <f>G144+Z144+AC144</f>
        <v>90560096</v>
      </c>
    </row>
    <row r="145" spans="1:243" ht="15" x14ac:dyDescent="0.2">
      <c r="A145" s="91">
        <v>180319</v>
      </c>
      <c r="B145" s="101" t="s">
        <v>1017</v>
      </c>
      <c r="C145" s="102" t="s">
        <v>617</v>
      </c>
      <c r="D145" s="103" t="s">
        <v>8</v>
      </c>
      <c r="E145" s="109"/>
      <c r="F145" s="48">
        <v>155959</v>
      </c>
      <c r="G145" s="106">
        <f>ROUND(E145*F145,0)</f>
        <v>0</v>
      </c>
      <c r="H145" s="95"/>
      <c r="I145" s="95"/>
      <c r="J145" s="96"/>
      <c r="K145" s="96"/>
      <c r="L145" s="91"/>
      <c r="M145" s="91"/>
      <c r="N145" s="91"/>
      <c r="O145" s="91"/>
      <c r="P145" s="91"/>
      <c r="Q145" s="91"/>
      <c r="R145" s="97">
        <f t="shared" si="53"/>
        <v>0</v>
      </c>
      <c r="S145" s="98">
        <v>99229958.550000012</v>
      </c>
      <c r="T145" s="97"/>
      <c r="U145" s="100">
        <f t="shared" si="54"/>
        <v>0</v>
      </c>
      <c r="V145" s="107">
        <f t="shared" si="55"/>
        <v>0</v>
      </c>
      <c r="W145" s="91"/>
      <c r="X145" s="132">
        <v>561.03</v>
      </c>
      <c r="Y145" s="106">
        <f>(F145*3.5%)+F145</f>
        <v>161417.565</v>
      </c>
      <c r="Z145" s="106">
        <f t="shared" ref="Z145" si="60">ROUND(X145*Y145,0)</f>
        <v>90560096</v>
      </c>
      <c r="AA145" s="106"/>
      <c r="AB145" s="106"/>
      <c r="AC145" s="106"/>
      <c r="AD145" s="108">
        <f>G145+Z145+AC145</f>
        <v>90560096</v>
      </c>
    </row>
    <row r="146" spans="1:243" ht="15" customHeight="1" x14ac:dyDescent="0.2">
      <c r="A146" s="91"/>
      <c r="B146" s="103"/>
      <c r="C146" s="207" t="s">
        <v>639</v>
      </c>
      <c r="D146" s="207"/>
      <c r="E146" s="207"/>
      <c r="F146" s="208"/>
      <c r="G146" s="123">
        <f>SUM(G136:N145)/2</f>
        <v>0</v>
      </c>
      <c r="H146" s="95"/>
      <c r="I146" s="95"/>
      <c r="J146" s="96"/>
      <c r="K146" s="96"/>
      <c r="L146" s="91"/>
      <c r="M146" s="91"/>
      <c r="N146" s="91"/>
      <c r="O146" s="91"/>
      <c r="P146" s="91"/>
      <c r="Q146" s="91"/>
      <c r="R146" s="121">
        <f t="shared" si="53"/>
        <v>0</v>
      </c>
      <c r="S146" s="98">
        <v>103988805.75</v>
      </c>
      <c r="T146" s="97"/>
      <c r="U146" s="100">
        <f t="shared" si="54"/>
        <v>0</v>
      </c>
      <c r="V146" s="107"/>
      <c r="W146" s="91"/>
      <c r="X146" s="123"/>
      <c r="Y146" s="123"/>
      <c r="Z146" s="123">
        <f>SUM(Z136:Z145)/2</f>
        <v>96349060</v>
      </c>
      <c r="AA146" s="123"/>
      <c r="AB146" s="123"/>
      <c r="AC146" s="123"/>
      <c r="AD146" s="123">
        <f>SUM(AD136:AD145)/2</f>
        <v>96349060</v>
      </c>
    </row>
    <row r="147" spans="1:243" x14ac:dyDescent="0.2">
      <c r="A147" s="91"/>
      <c r="B147" s="103"/>
      <c r="C147" s="102"/>
      <c r="D147" s="103"/>
      <c r="E147" s="102"/>
      <c r="F147" s="106"/>
      <c r="G147" s="110"/>
      <c r="H147" s="95"/>
      <c r="I147" s="95"/>
      <c r="J147" s="96"/>
      <c r="K147" s="96"/>
      <c r="L147" s="91"/>
      <c r="M147" s="91"/>
      <c r="N147" s="91"/>
      <c r="O147" s="91"/>
      <c r="P147" s="91"/>
      <c r="Q147" s="91"/>
      <c r="R147" s="97">
        <f t="shared" si="53"/>
        <v>0</v>
      </c>
      <c r="S147" s="98">
        <v>0</v>
      </c>
      <c r="T147" s="97"/>
      <c r="U147" s="100">
        <f t="shared" si="54"/>
        <v>0</v>
      </c>
      <c r="V147" s="107">
        <f t="shared" si="55"/>
        <v>0</v>
      </c>
      <c r="W147" s="91"/>
      <c r="X147" s="91"/>
      <c r="Y147" s="91"/>
      <c r="Z147" s="129"/>
      <c r="AA147" s="91"/>
      <c r="AB147" s="91"/>
      <c r="AC147" s="91"/>
      <c r="AD147" s="91"/>
    </row>
    <row r="148" spans="1:243" ht="30" customHeight="1" x14ac:dyDescent="0.2">
      <c r="A148" s="91"/>
      <c r="B148" s="86">
        <v>10</v>
      </c>
      <c r="C148" s="209" t="s">
        <v>66</v>
      </c>
      <c r="D148" s="209"/>
      <c r="E148" s="209"/>
      <c r="F148" s="210"/>
      <c r="G148" s="124"/>
      <c r="H148" s="95"/>
      <c r="I148" s="95"/>
      <c r="J148" s="96"/>
      <c r="K148" s="96"/>
      <c r="L148" s="91"/>
      <c r="M148" s="91"/>
      <c r="N148" s="91"/>
      <c r="O148" s="91"/>
      <c r="P148" s="91"/>
      <c r="Q148" s="91"/>
      <c r="R148" s="97">
        <f t="shared" si="53"/>
        <v>0</v>
      </c>
      <c r="S148" s="98">
        <v>0</v>
      </c>
      <c r="T148" s="97"/>
      <c r="U148" s="100">
        <f t="shared" si="54"/>
        <v>0</v>
      </c>
      <c r="V148" s="107">
        <f t="shared" si="55"/>
        <v>0</v>
      </c>
      <c r="W148" s="91"/>
      <c r="X148" s="124"/>
      <c r="Y148" s="124"/>
      <c r="Z148" s="124"/>
      <c r="AA148" s="124"/>
      <c r="AB148" s="124"/>
      <c r="AC148" s="124"/>
      <c r="AD148" s="124"/>
    </row>
    <row r="149" spans="1:243" ht="15" x14ac:dyDescent="0.2">
      <c r="A149" s="91"/>
      <c r="B149" s="111" t="s">
        <v>81</v>
      </c>
      <c r="C149" s="93" t="s">
        <v>523</v>
      </c>
      <c r="D149" s="125"/>
      <c r="E149" s="140"/>
      <c r="F149" s="126"/>
      <c r="G149" s="113">
        <f>SUM(G150:G154)</f>
        <v>0</v>
      </c>
      <c r="H149" s="95"/>
      <c r="I149" s="95"/>
      <c r="J149" s="96"/>
      <c r="K149" s="96"/>
      <c r="L149" s="91"/>
      <c r="M149" s="91"/>
      <c r="N149" s="91"/>
      <c r="O149" s="91"/>
      <c r="P149" s="91"/>
      <c r="Q149" s="91"/>
      <c r="R149" s="97">
        <f t="shared" si="53"/>
        <v>0</v>
      </c>
      <c r="S149" s="98">
        <v>95630137.650000006</v>
      </c>
      <c r="T149" s="97"/>
      <c r="U149" s="100">
        <f t="shared" si="54"/>
        <v>0</v>
      </c>
      <c r="V149" s="107"/>
      <c r="W149" s="91"/>
      <c r="X149" s="113"/>
      <c r="Y149" s="113"/>
      <c r="Z149" s="113">
        <f>SUM(Z150:Z154)</f>
        <v>126676980</v>
      </c>
      <c r="AA149" s="113"/>
      <c r="AB149" s="113"/>
      <c r="AC149" s="113"/>
      <c r="AD149" s="94">
        <f>G149+Z149+AC149</f>
        <v>126676980</v>
      </c>
    </row>
    <row r="150" spans="1:243" ht="15" x14ac:dyDescent="0.2">
      <c r="A150" s="91">
        <v>180410</v>
      </c>
      <c r="B150" s="101" t="s">
        <v>83</v>
      </c>
      <c r="C150" s="102" t="s">
        <v>832</v>
      </c>
      <c r="D150" s="103" t="s">
        <v>8</v>
      </c>
      <c r="E150" s="109"/>
      <c r="F150" s="48">
        <v>75283</v>
      </c>
      <c r="G150" s="106">
        <f>ROUND(E150*F150,0)</f>
        <v>0</v>
      </c>
      <c r="H150" s="95"/>
      <c r="I150" s="95"/>
      <c r="J150" s="96"/>
      <c r="K150" s="96"/>
      <c r="L150" s="91"/>
      <c r="M150" s="91"/>
      <c r="N150" s="91"/>
      <c r="O150" s="91"/>
      <c r="P150" s="91"/>
      <c r="Q150" s="91"/>
      <c r="R150" s="97">
        <f t="shared" si="53"/>
        <v>0</v>
      </c>
      <c r="S150" s="98">
        <v>58767364.349999994</v>
      </c>
      <c r="T150" s="97"/>
      <c r="U150" s="100">
        <f t="shared" si="54"/>
        <v>0</v>
      </c>
      <c r="V150" s="107">
        <f t="shared" si="55"/>
        <v>0</v>
      </c>
      <c r="W150" s="91"/>
      <c r="X150" s="170">
        <v>776.32599999999991</v>
      </c>
      <c r="Y150" s="106">
        <f t="shared" ref="Y150:Y153" si="61">(F150*3.5%)+F150</f>
        <v>77917.904999999999</v>
      </c>
      <c r="Z150" s="106">
        <f>ROUND(X150*Y150,0)</f>
        <v>60489696</v>
      </c>
      <c r="AA150" s="106"/>
      <c r="AB150" s="106"/>
      <c r="AC150" s="106"/>
      <c r="AD150" s="108">
        <f t="shared" ref="AD150:AD154" si="62">G150+Z150+AC150</f>
        <v>60489696</v>
      </c>
    </row>
    <row r="151" spans="1:243" s="41" customFormat="1" ht="15" x14ac:dyDescent="0.2">
      <c r="A151" s="91">
        <v>290826</v>
      </c>
      <c r="B151" s="101" t="s">
        <v>84</v>
      </c>
      <c r="C151" s="102" t="s">
        <v>146</v>
      </c>
      <c r="D151" s="103" t="s">
        <v>11</v>
      </c>
      <c r="E151" s="104"/>
      <c r="F151" s="48">
        <v>24198</v>
      </c>
      <c r="G151" s="106">
        <f t="shared" ref="G151:G154" si="63">ROUND(E151*F151,0)</f>
        <v>0</v>
      </c>
      <c r="H151" s="117"/>
      <c r="I151" s="117"/>
      <c r="J151" s="118"/>
      <c r="K151" s="118"/>
      <c r="L151" s="119"/>
      <c r="M151" s="119"/>
      <c r="N151" s="119"/>
      <c r="O151" s="119"/>
      <c r="P151" s="119"/>
      <c r="Q151" s="119"/>
      <c r="R151" s="97">
        <f t="shared" si="53"/>
        <v>0</v>
      </c>
      <c r="S151" s="120">
        <v>35421476.849999994</v>
      </c>
      <c r="T151" s="121"/>
      <c r="U151" s="100">
        <f t="shared" si="54"/>
        <v>0</v>
      </c>
      <c r="V151" s="107">
        <f t="shared" si="55"/>
        <v>0</v>
      </c>
      <c r="W151" s="119"/>
      <c r="X151" s="170">
        <v>398.95</v>
      </c>
      <c r="Y151" s="106">
        <f t="shared" si="61"/>
        <v>25044.93</v>
      </c>
      <c r="Z151" s="106">
        <f>ROUND(X151*Y151,0)</f>
        <v>9991675</v>
      </c>
      <c r="AA151" s="106"/>
      <c r="AB151" s="106"/>
      <c r="AC151" s="106"/>
      <c r="AD151" s="108">
        <f t="shared" si="62"/>
        <v>9991675</v>
      </c>
      <c r="AE151" s="197"/>
      <c r="AF151" s="197"/>
      <c r="AG151" s="197"/>
      <c r="AH151" s="197"/>
      <c r="AI151" s="197"/>
      <c r="AJ151" s="197"/>
      <c r="AK151" s="197"/>
      <c r="AL151" s="197"/>
      <c r="AM151" s="197"/>
      <c r="AN151" s="197"/>
      <c r="AO151" s="197"/>
      <c r="AP151" s="197"/>
      <c r="AQ151" s="197"/>
      <c r="AR151" s="197"/>
      <c r="AS151" s="197"/>
      <c r="AT151" s="197"/>
      <c r="AU151" s="197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7"/>
      <c r="BF151" s="197"/>
      <c r="BG151" s="197"/>
      <c r="BH151" s="197"/>
      <c r="BI151" s="197"/>
      <c r="BJ151" s="197"/>
      <c r="BK151" s="197"/>
      <c r="BL151" s="197"/>
      <c r="BM151" s="197"/>
      <c r="BN151" s="197"/>
      <c r="BO151" s="197"/>
      <c r="BP151" s="197"/>
      <c r="BQ151" s="197"/>
      <c r="BR151" s="197"/>
      <c r="BS151" s="197"/>
      <c r="BT151" s="197"/>
      <c r="BU151" s="197"/>
      <c r="BV151" s="197"/>
      <c r="BW151" s="197"/>
      <c r="BX151" s="197"/>
      <c r="BY151" s="197"/>
      <c r="BZ151" s="197"/>
      <c r="CA151" s="197"/>
      <c r="CB151" s="197"/>
      <c r="CC151" s="197"/>
      <c r="CD151" s="197"/>
      <c r="CE151" s="197"/>
      <c r="CF151" s="197"/>
      <c r="CG151" s="197"/>
      <c r="CH151" s="197"/>
      <c r="CI151" s="197"/>
      <c r="CJ151" s="197"/>
      <c r="CK151" s="197"/>
      <c r="CL151" s="197"/>
      <c r="CM151" s="197"/>
      <c r="CN151" s="197"/>
      <c r="CO151" s="197"/>
      <c r="CP151" s="197"/>
      <c r="CQ151" s="197"/>
      <c r="CR151" s="197"/>
      <c r="CS151" s="197"/>
      <c r="CT151" s="197"/>
      <c r="CU151" s="197"/>
      <c r="CV151" s="197"/>
      <c r="CW151" s="197"/>
      <c r="CX151" s="197"/>
      <c r="CY151" s="197"/>
      <c r="CZ151" s="197"/>
      <c r="DA151" s="197"/>
      <c r="DB151" s="197"/>
      <c r="DC151" s="197"/>
      <c r="DD151" s="197"/>
      <c r="DE151" s="197"/>
      <c r="DF151" s="197"/>
      <c r="DG151" s="197"/>
      <c r="DH151" s="197"/>
      <c r="DI151" s="197"/>
      <c r="DJ151" s="197"/>
      <c r="DK151" s="197"/>
      <c r="DL151" s="197"/>
      <c r="DM151" s="197"/>
      <c r="DN151" s="197"/>
      <c r="DO151" s="197"/>
      <c r="DP151" s="197"/>
      <c r="DQ151" s="197"/>
      <c r="DR151" s="197"/>
      <c r="DS151" s="197"/>
      <c r="DT151" s="197"/>
      <c r="DU151" s="197"/>
      <c r="DV151" s="197"/>
      <c r="DW151" s="197"/>
      <c r="DX151" s="197"/>
      <c r="DY151" s="197"/>
      <c r="DZ151" s="197"/>
      <c r="EA151" s="197"/>
      <c r="EB151" s="197"/>
      <c r="EC151" s="197"/>
      <c r="ED151" s="197"/>
      <c r="EE151" s="197"/>
      <c r="EF151" s="197"/>
      <c r="EG151" s="197"/>
      <c r="EH151" s="197"/>
      <c r="EI151" s="197"/>
      <c r="EJ151" s="197"/>
      <c r="EK151" s="197"/>
      <c r="EL151" s="197"/>
      <c r="EM151" s="197"/>
      <c r="EN151" s="197"/>
      <c r="EO151" s="197"/>
      <c r="EP151" s="197"/>
      <c r="EQ151" s="197"/>
      <c r="ER151" s="197"/>
      <c r="ES151" s="197"/>
      <c r="ET151" s="197"/>
      <c r="EU151" s="197"/>
      <c r="EV151" s="197"/>
      <c r="EW151" s="197"/>
      <c r="EX151" s="197"/>
      <c r="EY151" s="197"/>
      <c r="EZ151" s="197"/>
      <c r="FA151" s="197"/>
      <c r="FB151" s="197"/>
      <c r="FC151" s="197"/>
      <c r="FD151" s="197"/>
      <c r="FE151" s="197"/>
      <c r="FF151" s="197"/>
      <c r="FG151" s="197"/>
      <c r="FH151" s="197"/>
      <c r="FI151" s="197"/>
      <c r="FJ151" s="197"/>
      <c r="FK151" s="197"/>
      <c r="FL151" s="197"/>
      <c r="FM151" s="197"/>
      <c r="FN151" s="197"/>
      <c r="FO151" s="197"/>
      <c r="FP151" s="197"/>
      <c r="FQ151" s="197"/>
      <c r="FR151" s="197"/>
      <c r="FS151" s="197"/>
      <c r="FT151" s="197"/>
      <c r="FU151" s="197"/>
      <c r="FV151" s="197"/>
      <c r="FW151" s="197"/>
      <c r="FX151" s="197"/>
      <c r="FY151" s="197"/>
      <c r="FZ151" s="197"/>
      <c r="GA151" s="197"/>
      <c r="GB151" s="197"/>
      <c r="GC151" s="197"/>
      <c r="GD151" s="197"/>
      <c r="GE151" s="197"/>
      <c r="GF151" s="197"/>
      <c r="GG151" s="197"/>
      <c r="GH151" s="197"/>
      <c r="GI151" s="197"/>
      <c r="GJ151" s="197"/>
      <c r="GK151" s="197"/>
      <c r="GL151" s="197"/>
      <c r="GM151" s="197"/>
      <c r="GN151" s="197"/>
      <c r="GO151" s="197"/>
      <c r="GP151" s="197"/>
      <c r="GQ151" s="197"/>
      <c r="GR151" s="197"/>
      <c r="GS151" s="197"/>
      <c r="GT151" s="197"/>
      <c r="GU151" s="197"/>
      <c r="GV151" s="197"/>
      <c r="GW151" s="197"/>
      <c r="GX151" s="197"/>
      <c r="GY151" s="197"/>
      <c r="GZ151" s="197"/>
      <c r="HA151" s="197"/>
      <c r="HB151" s="197"/>
      <c r="HC151" s="197"/>
      <c r="HD151" s="197"/>
      <c r="HE151" s="197"/>
      <c r="HF151" s="197"/>
      <c r="HG151" s="197"/>
      <c r="HH151" s="197"/>
      <c r="HI151" s="197"/>
      <c r="HJ151" s="197"/>
      <c r="HK151" s="197"/>
      <c r="HL151" s="197"/>
      <c r="HM151" s="197"/>
      <c r="HN151" s="197"/>
      <c r="HO151" s="197"/>
      <c r="HP151" s="197"/>
      <c r="HQ151" s="197"/>
      <c r="HR151" s="197"/>
      <c r="HS151" s="197"/>
      <c r="HT151" s="197"/>
      <c r="HU151" s="197"/>
      <c r="HV151" s="197"/>
      <c r="HW151" s="197"/>
      <c r="HX151" s="197"/>
      <c r="HY151" s="197"/>
      <c r="HZ151" s="197"/>
      <c r="IA151" s="197"/>
      <c r="IB151" s="197"/>
      <c r="IC151" s="197"/>
      <c r="ID151" s="197"/>
      <c r="IE151" s="197"/>
      <c r="IF151" s="197"/>
      <c r="IG151" s="197"/>
      <c r="IH151" s="197"/>
      <c r="II151" s="197"/>
    </row>
    <row r="152" spans="1:243" ht="15" x14ac:dyDescent="0.2">
      <c r="A152" s="91">
        <v>290827</v>
      </c>
      <c r="B152" s="101" t="s">
        <v>85</v>
      </c>
      <c r="C152" s="102" t="s">
        <v>638</v>
      </c>
      <c r="D152" s="103" t="s">
        <v>5</v>
      </c>
      <c r="E152" s="104"/>
      <c r="F152" s="48">
        <v>26277</v>
      </c>
      <c r="G152" s="106">
        <f t="shared" si="63"/>
        <v>0</v>
      </c>
      <c r="H152" s="95"/>
      <c r="I152" s="95"/>
      <c r="J152" s="96"/>
      <c r="K152" s="96"/>
      <c r="L152" s="91"/>
      <c r="M152" s="91"/>
      <c r="N152" s="91"/>
      <c r="O152" s="91"/>
      <c r="P152" s="91"/>
      <c r="Q152" s="91"/>
      <c r="R152" s="97">
        <f t="shared" si="53"/>
        <v>0</v>
      </c>
      <c r="S152" s="98">
        <v>1441296.4500000002</v>
      </c>
      <c r="T152" s="97"/>
      <c r="U152" s="100">
        <f t="shared" si="54"/>
        <v>0</v>
      </c>
      <c r="V152" s="107">
        <f t="shared" si="55"/>
        <v>0</v>
      </c>
      <c r="W152" s="91"/>
      <c r="X152" s="170">
        <v>55</v>
      </c>
      <c r="Y152" s="106">
        <f t="shared" si="61"/>
        <v>27196.695</v>
      </c>
      <c r="Z152" s="106">
        <f>ROUND(X152*Y152,0)</f>
        <v>1495818</v>
      </c>
      <c r="AA152" s="106"/>
      <c r="AB152" s="106"/>
      <c r="AC152" s="106"/>
      <c r="AD152" s="108">
        <f t="shared" si="62"/>
        <v>1495818</v>
      </c>
    </row>
    <row r="153" spans="1:243" ht="15" x14ac:dyDescent="0.2">
      <c r="A153" s="91">
        <v>180311</v>
      </c>
      <c r="B153" s="101" t="s">
        <v>86</v>
      </c>
      <c r="C153" s="102" t="s">
        <v>70</v>
      </c>
      <c r="D153" s="103" t="s">
        <v>8</v>
      </c>
      <c r="E153" s="104"/>
      <c r="F153" s="48">
        <v>56285</v>
      </c>
      <c r="G153" s="106">
        <f t="shared" si="63"/>
        <v>0</v>
      </c>
      <c r="H153" s="95"/>
      <c r="I153" s="95"/>
      <c r="J153" s="96"/>
      <c r="K153" s="96"/>
      <c r="L153" s="91"/>
      <c r="M153" s="91"/>
      <c r="N153" s="91"/>
      <c r="O153" s="91"/>
      <c r="P153" s="91"/>
      <c r="Q153" s="91"/>
      <c r="R153" s="97">
        <f t="shared" si="53"/>
        <v>0</v>
      </c>
      <c r="S153" s="98">
        <v>0</v>
      </c>
      <c r="T153" s="97"/>
      <c r="U153" s="100">
        <f t="shared" si="54"/>
        <v>0</v>
      </c>
      <c r="V153" s="107">
        <f t="shared" si="55"/>
        <v>0</v>
      </c>
      <c r="W153" s="91"/>
      <c r="X153" s="170">
        <v>776.32599999999991</v>
      </c>
      <c r="Y153" s="106">
        <f t="shared" si="61"/>
        <v>58254.974999999999</v>
      </c>
      <c r="Z153" s="106">
        <f>ROUND(X153*Y153,0)</f>
        <v>45224852</v>
      </c>
      <c r="AA153" s="106"/>
      <c r="AB153" s="106"/>
      <c r="AC153" s="106"/>
      <c r="AD153" s="108">
        <f t="shared" si="62"/>
        <v>45224852</v>
      </c>
    </row>
    <row r="154" spans="1:243" ht="15" x14ac:dyDescent="0.2">
      <c r="A154" s="91">
        <v>180442</v>
      </c>
      <c r="B154" s="101" t="s">
        <v>87</v>
      </c>
      <c r="C154" s="102" t="s">
        <v>833</v>
      </c>
      <c r="D154" s="103" t="s">
        <v>5</v>
      </c>
      <c r="E154" s="104"/>
      <c r="F154" s="48">
        <v>166446</v>
      </c>
      <c r="G154" s="106">
        <f t="shared" si="63"/>
        <v>0</v>
      </c>
      <c r="H154" s="95"/>
      <c r="I154" s="95"/>
      <c r="J154" s="96"/>
      <c r="K154" s="96"/>
      <c r="L154" s="91"/>
      <c r="M154" s="91"/>
      <c r="N154" s="91"/>
      <c r="O154" s="91"/>
      <c r="P154" s="91"/>
      <c r="Q154" s="91"/>
      <c r="R154" s="97">
        <f t="shared" si="53"/>
        <v>0</v>
      </c>
      <c r="S154" s="98">
        <v>0</v>
      </c>
      <c r="T154" s="97"/>
      <c r="U154" s="100">
        <f t="shared" si="54"/>
        <v>0</v>
      </c>
      <c r="V154" s="107">
        <f t="shared" si="55"/>
        <v>0</v>
      </c>
      <c r="W154" s="91"/>
      <c r="X154" s="170">
        <v>55</v>
      </c>
      <c r="Y154" s="106">
        <f>(F154*3.5%)+F154</f>
        <v>172271.61</v>
      </c>
      <c r="Z154" s="106">
        <f>ROUND(X154*Y154,0)</f>
        <v>9474939</v>
      </c>
      <c r="AA154" s="106"/>
      <c r="AB154" s="106"/>
      <c r="AC154" s="106"/>
      <c r="AD154" s="108">
        <f t="shared" si="62"/>
        <v>9474939</v>
      </c>
    </row>
    <row r="155" spans="1:243" x14ac:dyDescent="0.2">
      <c r="A155" s="91"/>
      <c r="B155" s="103"/>
      <c r="C155" s="102"/>
      <c r="D155" s="103"/>
      <c r="E155" s="102"/>
      <c r="F155" s="106"/>
      <c r="G155" s="108"/>
      <c r="H155" s="95"/>
      <c r="I155" s="95"/>
      <c r="J155" s="96"/>
      <c r="K155" s="96"/>
      <c r="L155" s="91"/>
      <c r="M155" s="91"/>
      <c r="N155" s="91"/>
      <c r="O155" s="91"/>
      <c r="P155" s="91"/>
      <c r="Q155" s="91"/>
      <c r="R155" s="97">
        <f t="shared" si="53"/>
        <v>0</v>
      </c>
      <c r="S155" s="98">
        <v>0</v>
      </c>
      <c r="T155" s="97"/>
      <c r="U155" s="100">
        <f t="shared" si="54"/>
        <v>0</v>
      </c>
      <c r="V155" s="107">
        <f t="shared" si="55"/>
        <v>0</v>
      </c>
      <c r="W155" s="91"/>
      <c r="X155" s="108"/>
      <c r="Y155" s="108"/>
      <c r="Z155" s="108"/>
      <c r="AA155" s="108"/>
      <c r="AB155" s="108"/>
      <c r="AC155" s="108"/>
      <c r="AD155" s="108"/>
    </row>
    <row r="156" spans="1:243" x14ac:dyDescent="0.2">
      <c r="A156" s="91"/>
      <c r="B156" s="103"/>
      <c r="C156" s="207" t="s">
        <v>100</v>
      </c>
      <c r="D156" s="207"/>
      <c r="E156" s="207"/>
      <c r="F156" s="208"/>
      <c r="G156" s="123">
        <f>SUM(G149:N155)/2</f>
        <v>0</v>
      </c>
      <c r="H156" s="95"/>
      <c r="I156" s="95"/>
      <c r="J156" s="96"/>
      <c r="K156" s="96"/>
      <c r="L156" s="91"/>
      <c r="M156" s="91"/>
      <c r="N156" s="91"/>
      <c r="O156" s="91"/>
      <c r="P156" s="91"/>
      <c r="Q156" s="91"/>
      <c r="R156" s="121">
        <f t="shared" si="53"/>
        <v>0</v>
      </c>
      <c r="S156" s="98">
        <v>95630137.650000006</v>
      </c>
      <c r="T156" s="97"/>
      <c r="U156" s="100">
        <f t="shared" si="54"/>
        <v>0</v>
      </c>
      <c r="V156" s="107">
        <f t="shared" si="55"/>
        <v>0</v>
      </c>
      <c r="W156" s="91"/>
      <c r="X156" s="123"/>
      <c r="Y156" s="123"/>
      <c r="Z156" s="123">
        <f>SUM(Z149:Z155)/2</f>
        <v>126676980</v>
      </c>
      <c r="AA156" s="123"/>
      <c r="AB156" s="123"/>
      <c r="AC156" s="123"/>
      <c r="AD156" s="123">
        <f>SUM(AD149:AD155)/2</f>
        <v>126676980</v>
      </c>
    </row>
    <row r="157" spans="1:243" x14ac:dyDescent="0.2">
      <c r="A157" s="91"/>
      <c r="B157" s="103"/>
      <c r="C157" s="102"/>
      <c r="D157" s="103"/>
      <c r="E157" s="102"/>
      <c r="F157" s="106"/>
      <c r="G157" s="110"/>
      <c r="H157" s="95"/>
      <c r="I157" s="95"/>
      <c r="J157" s="96"/>
      <c r="K157" s="96"/>
      <c r="L157" s="91"/>
      <c r="M157" s="91"/>
      <c r="N157" s="91"/>
      <c r="O157" s="91"/>
      <c r="P157" s="91"/>
      <c r="Q157" s="91"/>
      <c r="R157" s="97">
        <f t="shared" si="53"/>
        <v>0</v>
      </c>
      <c r="S157" s="98">
        <v>0</v>
      </c>
      <c r="T157" s="97"/>
      <c r="U157" s="100">
        <f t="shared" si="54"/>
        <v>0</v>
      </c>
      <c r="V157" s="107">
        <f t="shared" si="55"/>
        <v>0</v>
      </c>
      <c r="W157" s="91"/>
      <c r="X157" s="91"/>
      <c r="Y157" s="91"/>
      <c r="Z157" s="91"/>
      <c r="AA157" s="91"/>
      <c r="AB157" s="91"/>
      <c r="AC157" s="91"/>
      <c r="AD157" s="91"/>
    </row>
    <row r="158" spans="1:243" ht="30" customHeight="1" x14ac:dyDescent="0.2">
      <c r="A158" s="91"/>
      <c r="B158" s="86">
        <v>11</v>
      </c>
      <c r="C158" s="209" t="s">
        <v>131</v>
      </c>
      <c r="D158" s="209"/>
      <c r="E158" s="209"/>
      <c r="F158" s="210"/>
      <c r="G158" s="124"/>
      <c r="H158" s="95"/>
      <c r="I158" s="95"/>
      <c r="J158" s="96"/>
      <c r="K158" s="96"/>
      <c r="L158" s="91"/>
      <c r="M158" s="91"/>
      <c r="N158" s="91"/>
      <c r="O158" s="91"/>
      <c r="P158" s="91"/>
      <c r="Q158" s="91"/>
      <c r="R158" s="97">
        <f t="shared" si="53"/>
        <v>0</v>
      </c>
      <c r="S158" s="98">
        <v>0</v>
      </c>
      <c r="T158" s="97"/>
      <c r="U158" s="100">
        <f t="shared" si="54"/>
        <v>0</v>
      </c>
      <c r="V158" s="107">
        <f t="shared" si="55"/>
        <v>0</v>
      </c>
      <c r="W158" s="91"/>
      <c r="X158" s="124"/>
      <c r="Y158" s="124"/>
      <c r="Z158" s="124"/>
      <c r="AA158" s="124"/>
      <c r="AB158" s="124"/>
      <c r="AC158" s="124"/>
      <c r="AD158" s="124"/>
    </row>
    <row r="159" spans="1:243" ht="15" x14ac:dyDescent="0.2">
      <c r="A159" s="91"/>
      <c r="B159" s="111" t="s">
        <v>670</v>
      </c>
      <c r="C159" s="93" t="s">
        <v>524</v>
      </c>
      <c r="D159" s="125"/>
      <c r="E159" s="140"/>
      <c r="F159" s="126"/>
      <c r="G159" s="113">
        <f>SUM(G160:G166)</f>
        <v>0</v>
      </c>
      <c r="H159" s="95"/>
      <c r="I159" s="95"/>
      <c r="J159" s="96"/>
      <c r="K159" s="96"/>
      <c r="L159" s="91"/>
      <c r="M159" s="91"/>
      <c r="N159" s="91"/>
      <c r="O159" s="91"/>
      <c r="P159" s="91"/>
      <c r="Q159" s="91"/>
      <c r="R159" s="97">
        <f t="shared" si="53"/>
        <v>0</v>
      </c>
      <c r="S159" s="98">
        <v>213410423.52453598</v>
      </c>
      <c r="T159" s="97"/>
      <c r="U159" s="100">
        <f t="shared" si="54"/>
        <v>0</v>
      </c>
      <c r="V159" s="107"/>
      <c r="W159" s="91"/>
      <c r="X159" s="113"/>
      <c r="Y159" s="113"/>
      <c r="Z159" s="113">
        <f>SUM(Z160:Z166)</f>
        <v>91735752</v>
      </c>
      <c r="AA159" s="113"/>
      <c r="AB159" s="113"/>
      <c r="AC159" s="113">
        <f>SUM(AC160:AC166)</f>
        <v>89519623</v>
      </c>
      <c r="AD159" s="94">
        <f>G159+Z159+AC159</f>
        <v>181255375</v>
      </c>
    </row>
    <row r="160" spans="1:243" s="41" customFormat="1" ht="15" x14ac:dyDescent="0.2">
      <c r="A160" s="91">
        <v>290110</v>
      </c>
      <c r="B160" s="101" t="s">
        <v>671</v>
      </c>
      <c r="C160" s="102" t="s">
        <v>834</v>
      </c>
      <c r="D160" s="103" t="s">
        <v>8</v>
      </c>
      <c r="E160" s="104"/>
      <c r="F160" s="48">
        <v>15513</v>
      </c>
      <c r="G160" s="48">
        <f t="shared" ref="G160:G166" si="64">ROUND(E160*F160,0)</f>
        <v>0</v>
      </c>
      <c r="H160" s="117"/>
      <c r="I160" s="117"/>
      <c r="J160" s="118"/>
      <c r="K160" s="118"/>
      <c r="L160" s="119"/>
      <c r="M160" s="119"/>
      <c r="N160" s="119"/>
      <c r="O160" s="119"/>
      <c r="P160" s="119"/>
      <c r="Q160" s="119"/>
      <c r="R160" s="97">
        <f t="shared" si="53"/>
        <v>0</v>
      </c>
      <c r="S160" s="120">
        <v>86583860.550000012</v>
      </c>
      <c r="T160" s="121"/>
      <c r="U160" s="100">
        <f t="shared" si="54"/>
        <v>0</v>
      </c>
      <c r="V160" s="107">
        <f t="shared" si="55"/>
        <v>0</v>
      </c>
      <c r="W160" s="119"/>
      <c r="X160" s="134">
        <v>1348.9393384999998</v>
      </c>
      <c r="Y160" s="132">
        <f t="shared" ref="Y160:Y166" si="65">(F160*3.5%)+F160</f>
        <v>16055.955</v>
      </c>
      <c r="Z160" s="106">
        <f t="shared" ref="Z160:Z166" si="66">ROUND(X160*Y160,0)</f>
        <v>21658509</v>
      </c>
      <c r="AA160" s="134">
        <v>1278.0116614999997</v>
      </c>
      <c r="AB160" s="144">
        <v>16537.63365</v>
      </c>
      <c r="AC160" s="106">
        <f>ROUND(AA160*AB160,0)</f>
        <v>21135289</v>
      </c>
      <c r="AD160" s="108">
        <f t="shared" ref="AD160:AD166" si="67">G160+Z160+AC160</f>
        <v>42793798</v>
      </c>
      <c r="AE160" s="199"/>
      <c r="AF160" s="199"/>
      <c r="AG160" s="197"/>
      <c r="AH160" s="197"/>
      <c r="AI160" s="197"/>
      <c r="AJ160" s="197"/>
      <c r="AK160" s="197"/>
      <c r="AL160" s="197"/>
      <c r="AM160" s="197"/>
      <c r="AN160" s="197"/>
      <c r="AO160" s="197"/>
      <c r="AP160" s="197"/>
      <c r="AQ160" s="197"/>
      <c r="AR160" s="197"/>
      <c r="AS160" s="197"/>
      <c r="AT160" s="197"/>
      <c r="AU160" s="197"/>
      <c r="AV160" s="197"/>
      <c r="AW160" s="197"/>
      <c r="AX160" s="197"/>
      <c r="AY160" s="197"/>
      <c r="AZ160" s="197"/>
      <c r="BA160" s="197"/>
      <c r="BB160" s="197"/>
      <c r="BC160" s="197"/>
      <c r="BD160" s="197"/>
      <c r="BE160" s="197"/>
      <c r="BF160" s="197"/>
      <c r="BG160" s="197"/>
      <c r="BH160" s="197"/>
      <c r="BI160" s="197"/>
      <c r="BJ160" s="197"/>
      <c r="BK160" s="197"/>
      <c r="BL160" s="197"/>
      <c r="BM160" s="197"/>
      <c r="BN160" s="197"/>
      <c r="BO160" s="197"/>
      <c r="BP160" s="197"/>
      <c r="BQ160" s="197"/>
      <c r="BR160" s="197"/>
      <c r="BS160" s="197"/>
      <c r="BT160" s="197"/>
      <c r="BU160" s="197"/>
      <c r="BV160" s="197"/>
      <c r="BW160" s="197"/>
      <c r="BX160" s="197"/>
      <c r="BY160" s="197"/>
      <c r="BZ160" s="197"/>
      <c r="CA160" s="197"/>
      <c r="CB160" s="197"/>
      <c r="CC160" s="197"/>
      <c r="CD160" s="197"/>
      <c r="CE160" s="197"/>
      <c r="CF160" s="197"/>
      <c r="CG160" s="197"/>
      <c r="CH160" s="197"/>
      <c r="CI160" s="197"/>
      <c r="CJ160" s="197"/>
      <c r="CK160" s="197"/>
      <c r="CL160" s="197"/>
      <c r="CM160" s="197"/>
      <c r="CN160" s="197"/>
      <c r="CO160" s="197"/>
      <c r="CP160" s="197"/>
      <c r="CQ160" s="197"/>
      <c r="CR160" s="197"/>
      <c r="CS160" s="197"/>
      <c r="CT160" s="197"/>
      <c r="CU160" s="197"/>
      <c r="CV160" s="197"/>
      <c r="CW160" s="197"/>
      <c r="CX160" s="197"/>
      <c r="CY160" s="197"/>
      <c r="CZ160" s="197"/>
      <c r="DA160" s="197"/>
      <c r="DB160" s="197"/>
      <c r="DC160" s="197"/>
      <c r="DD160" s="197"/>
      <c r="DE160" s="197"/>
      <c r="DF160" s="197"/>
      <c r="DG160" s="197"/>
      <c r="DH160" s="197"/>
      <c r="DI160" s="197"/>
      <c r="DJ160" s="197"/>
      <c r="DK160" s="197"/>
      <c r="DL160" s="197"/>
      <c r="DM160" s="197"/>
      <c r="DN160" s="197"/>
      <c r="DO160" s="197"/>
      <c r="DP160" s="197"/>
      <c r="DQ160" s="197"/>
      <c r="DR160" s="197"/>
      <c r="DS160" s="197"/>
      <c r="DT160" s="197"/>
      <c r="DU160" s="197"/>
      <c r="DV160" s="197"/>
      <c r="DW160" s="197"/>
      <c r="DX160" s="197"/>
      <c r="DY160" s="197"/>
      <c r="DZ160" s="197"/>
      <c r="EA160" s="197"/>
      <c r="EB160" s="197"/>
      <c r="EC160" s="197"/>
      <c r="ED160" s="197"/>
      <c r="EE160" s="197"/>
      <c r="EF160" s="197"/>
      <c r="EG160" s="197"/>
      <c r="EH160" s="197"/>
      <c r="EI160" s="197"/>
      <c r="EJ160" s="197"/>
      <c r="EK160" s="197"/>
      <c r="EL160" s="197"/>
      <c r="EM160" s="197"/>
      <c r="EN160" s="197"/>
      <c r="EO160" s="197"/>
      <c r="EP160" s="197"/>
      <c r="EQ160" s="197"/>
      <c r="ER160" s="197"/>
      <c r="ES160" s="197"/>
      <c r="ET160" s="197"/>
      <c r="EU160" s="197"/>
      <c r="EV160" s="197"/>
      <c r="EW160" s="197"/>
      <c r="EX160" s="197"/>
      <c r="EY160" s="197"/>
      <c r="EZ160" s="197"/>
      <c r="FA160" s="197"/>
      <c r="FB160" s="197"/>
      <c r="FC160" s="197"/>
      <c r="FD160" s="197"/>
      <c r="FE160" s="197"/>
      <c r="FF160" s="197"/>
      <c r="FG160" s="197"/>
      <c r="FH160" s="197"/>
      <c r="FI160" s="197"/>
      <c r="FJ160" s="197"/>
      <c r="FK160" s="197"/>
      <c r="FL160" s="197"/>
      <c r="FM160" s="197"/>
      <c r="FN160" s="197"/>
      <c r="FO160" s="197"/>
      <c r="FP160" s="197"/>
      <c r="FQ160" s="197"/>
      <c r="FR160" s="197"/>
      <c r="FS160" s="197"/>
      <c r="FT160" s="197"/>
      <c r="FU160" s="197"/>
      <c r="FV160" s="197"/>
      <c r="FW160" s="197"/>
      <c r="FX160" s="197"/>
      <c r="FY160" s="197"/>
      <c r="FZ160" s="197"/>
      <c r="GA160" s="197"/>
      <c r="GB160" s="197"/>
      <c r="GC160" s="197"/>
      <c r="GD160" s="197"/>
      <c r="GE160" s="197"/>
      <c r="GF160" s="197"/>
      <c r="GG160" s="197"/>
      <c r="GH160" s="197"/>
      <c r="GI160" s="197"/>
      <c r="GJ160" s="197"/>
      <c r="GK160" s="197"/>
      <c r="GL160" s="197"/>
      <c r="GM160" s="197"/>
      <c r="GN160" s="197"/>
      <c r="GO160" s="197"/>
      <c r="GP160" s="197"/>
      <c r="GQ160" s="197"/>
      <c r="GR160" s="197"/>
      <c r="GS160" s="197"/>
      <c r="GT160" s="197"/>
      <c r="GU160" s="197"/>
      <c r="GV160" s="197"/>
      <c r="GW160" s="197"/>
      <c r="GX160" s="197"/>
      <c r="GY160" s="197"/>
      <c r="GZ160" s="197"/>
      <c r="HA160" s="197"/>
      <c r="HB160" s="197"/>
      <c r="HC160" s="197"/>
      <c r="HD160" s="197"/>
      <c r="HE160" s="197"/>
      <c r="HF160" s="197"/>
      <c r="HG160" s="197"/>
      <c r="HH160" s="197"/>
      <c r="HI160" s="197"/>
      <c r="HJ160" s="197"/>
      <c r="HK160" s="197"/>
      <c r="HL160" s="197"/>
      <c r="HM160" s="197"/>
      <c r="HN160" s="197"/>
      <c r="HO160" s="197"/>
      <c r="HP160" s="197"/>
      <c r="HQ160" s="197"/>
      <c r="HR160" s="197"/>
      <c r="HS160" s="197"/>
      <c r="HT160" s="197"/>
      <c r="HU160" s="197"/>
      <c r="HV160" s="197"/>
      <c r="HW160" s="197"/>
      <c r="HX160" s="197"/>
      <c r="HY160" s="197"/>
      <c r="HZ160" s="197"/>
      <c r="IA160" s="197"/>
      <c r="IB160" s="197"/>
      <c r="IC160" s="197"/>
      <c r="ID160" s="197"/>
      <c r="IE160" s="197"/>
      <c r="IF160" s="197"/>
      <c r="IG160" s="197"/>
      <c r="IH160" s="197"/>
      <c r="II160" s="197"/>
    </row>
    <row r="161" spans="1:243" ht="15" x14ac:dyDescent="0.2">
      <c r="A161" s="91">
        <v>290101</v>
      </c>
      <c r="B161" s="101" t="s">
        <v>672</v>
      </c>
      <c r="C161" s="102" t="s">
        <v>120</v>
      </c>
      <c r="D161" s="103" t="s">
        <v>8</v>
      </c>
      <c r="E161" s="104"/>
      <c r="F161" s="48">
        <v>20191</v>
      </c>
      <c r="G161" s="48">
        <f t="shared" si="64"/>
        <v>0</v>
      </c>
      <c r="H161" s="95"/>
      <c r="I161" s="95"/>
      <c r="J161" s="96"/>
      <c r="K161" s="96"/>
      <c r="L161" s="91"/>
      <c r="M161" s="91"/>
      <c r="N161" s="91"/>
      <c r="O161" s="91"/>
      <c r="P161" s="91"/>
      <c r="Q161" s="91"/>
      <c r="R161" s="97">
        <f t="shared" si="53"/>
        <v>0</v>
      </c>
      <c r="S161" s="98">
        <v>21451600.174535993</v>
      </c>
      <c r="T161" s="97"/>
      <c r="U161" s="100">
        <f t="shared" si="54"/>
        <v>0</v>
      </c>
      <c r="V161" s="107">
        <f t="shared" si="55"/>
        <v>0</v>
      </c>
      <c r="W161" s="91"/>
      <c r="X161" s="134">
        <v>532.33826099999987</v>
      </c>
      <c r="Y161" s="132">
        <f t="shared" si="65"/>
        <v>20897.685000000001</v>
      </c>
      <c r="Z161" s="106">
        <f t="shared" si="66"/>
        <v>11124637</v>
      </c>
      <c r="AA161" s="134">
        <v>504.34773899999982</v>
      </c>
      <c r="AB161" s="144">
        <v>21524.615549999999</v>
      </c>
      <c r="AC161" s="106">
        <f>ROUND(AA161*AB161,0)</f>
        <v>10855891</v>
      </c>
      <c r="AD161" s="108">
        <f t="shared" si="67"/>
        <v>21980528</v>
      </c>
      <c r="AE161" s="199"/>
      <c r="AF161" s="199"/>
    </row>
    <row r="162" spans="1:243" ht="15" x14ac:dyDescent="0.2">
      <c r="A162" s="91">
        <v>290114</v>
      </c>
      <c r="B162" s="101" t="s">
        <v>673</v>
      </c>
      <c r="C162" s="102" t="s">
        <v>835</v>
      </c>
      <c r="D162" s="103" t="s">
        <v>11</v>
      </c>
      <c r="E162" s="104"/>
      <c r="F162" s="48">
        <v>6997</v>
      </c>
      <c r="G162" s="48">
        <f t="shared" si="64"/>
        <v>0</v>
      </c>
      <c r="H162" s="95"/>
      <c r="I162" s="95"/>
      <c r="J162" s="96"/>
      <c r="K162" s="96"/>
      <c r="L162" s="91"/>
      <c r="M162" s="91"/>
      <c r="N162" s="91"/>
      <c r="O162" s="91"/>
      <c r="P162" s="91"/>
      <c r="Q162" s="91"/>
      <c r="R162" s="97">
        <f t="shared" si="53"/>
        <v>0</v>
      </c>
      <c r="S162" s="98">
        <v>7190764.1999999993</v>
      </c>
      <c r="T162" s="97"/>
      <c r="U162" s="100">
        <f t="shared" si="54"/>
        <v>0</v>
      </c>
      <c r="V162" s="107">
        <f t="shared" si="55"/>
        <v>0</v>
      </c>
      <c r="W162" s="91"/>
      <c r="X162" s="134">
        <v>489.45792999999992</v>
      </c>
      <c r="Y162" s="132">
        <f t="shared" si="65"/>
        <v>7241.8950000000004</v>
      </c>
      <c r="Z162" s="106">
        <f t="shared" si="66"/>
        <v>3544603</v>
      </c>
      <c r="AA162" s="134">
        <v>463.72206999999992</v>
      </c>
      <c r="AB162" s="144">
        <v>7459.1518500000002</v>
      </c>
      <c r="AC162" s="106">
        <f t="shared" ref="AC162:AC166" si="68">ROUND(AA162*AB162,0)</f>
        <v>3458973</v>
      </c>
      <c r="AD162" s="108">
        <f t="shared" si="67"/>
        <v>7003576</v>
      </c>
      <c r="AE162" s="199"/>
      <c r="AF162" s="199"/>
    </row>
    <row r="163" spans="1:243" ht="15" x14ac:dyDescent="0.2">
      <c r="A163" s="91">
        <v>290304</v>
      </c>
      <c r="B163" s="101" t="s">
        <v>674</v>
      </c>
      <c r="C163" s="102" t="s">
        <v>74</v>
      </c>
      <c r="D163" s="103" t="s">
        <v>8</v>
      </c>
      <c r="E163" s="104"/>
      <c r="F163" s="48">
        <v>14591</v>
      </c>
      <c r="G163" s="48">
        <f t="shared" si="64"/>
        <v>0</v>
      </c>
      <c r="H163" s="95"/>
      <c r="I163" s="95"/>
      <c r="J163" s="96"/>
      <c r="K163" s="96"/>
      <c r="L163" s="91"/>
      <c r="M163" s="91"/>
      <c r="N163" s="91"/>
      <c r="O163" s="91"/>
      <c r="P163" s="91"/>
      <c r="Q163" s="91"/>
      <c r="R163" s="97">
        <f t="shared" si="53"/>
        <v>0</v>
      </c>
      <c r="S163" s="98">
        <v>36867241.799999997</v>
      </c>
      <c r="T163" s="97"/>
      <c r="U163" s="100">
        <f t="shared" si="54"/>
        <v>0</v>
      </c>
      <c r="V163" s="107">
        <f t="shared" si="55"/>
        <v>0</v>
      </c>
      <c r="W163" s="91"/>
      <c r="X163" s="134">
        <v>1348.9393384999998</v>
      </c>
      <c r="Y163" s="132">
        <f t="shared" si="65"/>
        <v>15101.684999999999</v>
      </c>
      <c r="Z163" s="106">
        <f t="shared" si="66"/>
        <v>20371257</v>
      </c>
      <c r="AA163" s="134">
        <v>1278.0116614999997</v>
      </c>
      <c r="AB163" s="144">
        <v>15554.735549999999</v>
      </c>
      <c r="AC163" s="106">
        <f t="shared" si="68"/>
        <v>19879133</v>
      </c>
      <c r="AD163" s="108">
        <f t="shared" si="67"/>
        <v>40250390</v>
      </c>
      <c r="AE163" s="199"/>
      <c r="AF163" s="199"/>
    </row>
    <row r="164" spans="1:243" s="41" customFormat="1" ht="15" x14ac:dyDescent="0.2">
      <c r="A164" s="91">
        <v>290307</v>
      </c>
      <c r="B164" s="101" t="s">
        <v>675</v>
      </c>
      <c r="C164" s="102" t="s">
        <v>147</v>
      </c>
      <c r="D164" s="103" t="s">
        <v>8</v>
      </c>
      <c r="E164" s="104"/>
      <c r="F164" s="48">
        <v>18464</v>
      </c>
      <c r="G164" s="48">
        <f t="shared" si="64"/>
        <v>0</v>
      </c>
      <c r="H164" s="117"/>
      <c r="I164" s="117"/>
      <c r="J164" s="118"/>
      <c r="K164" s="118"/>
      <c r="L164" s="119"/>
      <c r="M164" s="119"/>
      <c r="N164" s="119"/>
      <c r="O164" s="119"/>
      <c r="P164" s="119"/>
      <c r="Q164" s="119"/>
      <c r="R164" s="97">
        <f t="shared" si="53"/>
        <v>0</v>
      </c>
      <c r="S164" s="120">
        <v>11760585.75</v>
      </c>
      <c r="T164" s="121"/>
      <c r="U164" s="100">
        <f t="shared" si="54"/>
        <v>0</v>
      </c>
      <c r="V164" s="107">
        <f t="shared" si="55"/>
        <v>0</v>
      </c>
      <c r="W164" s="119"/>
      <c r="X164" s="134">
        <v>398.64340099999998</v>
      </c>
      <c r="Y164" s="132">
        <f t="shared" si="65"/>
        <v>19110.240000000002</v>
      </c>
      <c r="Z164" s="106">
        <f t="shared" si="66"/>
        <v>7618171</v>
      </c>
      <c r="AA164" s="134">
        <v>377.68259899999993</v>
      </c>
      <c r="AB164" s="144">
        <v>19683.547200000001</v>
      </c>
      <c r="AC164" s="106">
        <f t="shared" si="68"/>
        <v>7434133</v>
      </c>
      <c r="AD164" s="108">
        <f t="shared" si="67"/>
        <v>15052304</v>
      </c>
      <c r="AE164" s="199"/>
      <c r="AF164" s="199"/>
      <c r="AG164" s="197"/>
      <c r="AH164" s="197"/>
      <c r="AI164" s="197"/>
      <c r="AJ164" s="197"/>
      <c r="AK164" s="197"/>
      <c r="AL164" s="197"/>
      <c r="AM164" s="197"/>
      <c r="AN164" s="197"/>
      <c r="AO164" s="197"/>
      <c r="AP164" s="197"/>
      <c r="AQ164" s="197"/>
      <c r="AR164" s="197"/>
      <c r="AS164" s="197"/>
      <c r="AT164" s="197"/>
      <c r="AU164" s="197"/>
      <c r="AV164" s="197"/>
      <c r="AW164" s="197"/>
      <c r="AX164" s="197"/>
      <c r="AY164" s="197"/>
      <c r="AZ164" s="197"/>
      <c r="BA164" s="197"/>
      <c r="BB164" s="197"/>
      <c r="BC164" s="197"/>
      <c r="BD164" s="197"/>
      <c r="BE164" s="197"/>
      <c r="BF164" s="197"/>
      <c r="BG164" s="197"/>
      <c r="BH164" s="197"/>
      <c r="BI164" s="197"/>
      <c r="BJ164" s="197"/>
      <c r="BK164" s="197"/>
      <c r="BL164" s="197"/>
      <c r="BM164" s="197"/>
      <c r="BN164" s="197"/>
      <c r="BO164" s="197"/>
      <c r="BP164" s="197"/>
      <c r="BQ164" s="197"/>
      <c r="BR164" s="197"/>
      <c r="BS164" s="197"/>
      <c r="BT164" s="197"/>
      <c r="BU164" s="197"/>
      <c r="BV164" s="197"/>
      <c r="BW164" s="197"/>
      <c r="BX164" s="197"/>
      <c r="BY164" s="197"/>
      <c r="BZ164" s="197"/>
      <c r="CA164" s="197"/>
      <c r="CB164" s="197"/>
      <c r="CC164" s="197"/>
      <c r="CD164" s="197"/>
      <c r="CE164" s="197"/>
      <c r="CF164" s="197"/>
      <c r="CG164" s="197"/>
      <c r="CH164" s="197"/>
      <c r="CI164" s="197"/>
      <c r="CJ164" s="197"/>
      <c r="CK164" s="197"/>
      <c r="CL164" s="197"/>
      <c r="CM164" s="197"/>
      <c r="CN164" s="197"/>
      <c r="CO164" s="197"/>
      <c r="CP164" s="197"/>
      <c r="CQ164" s="197"/>
      <c r="CR164" s="197"/>
      <c r="CS164" s="197"/>
      <c r="CT164" s="197"/>
      <c r="CU164" s="197"/>
      <c r="CV164" s="197"/>
      <c r="CW164" s="197"/>
      <c r="CX164" s="197"/>
      <c r="CY164" s="197"/>
      <c r="CZ164" s="197"/>
      <c r="DA164" s="197"/>
      <c r="DB164" s="197"/>
      <c r="DC164" s="197"/>
      <c r="DD164" s="197"/>
      <c r="DE164" s="197"/>
      <c r="DF164" s="197"/>
      <c r="DG164" s="197"/>
      <c r="DH164" s="197"/>
      <c r="DI164" s="197"/>
      <c r="DJ164" s="197"/>
      <c r="DK164" s="197"/>
      <c r="DL164" s="197"/>
      <c r="DM164" s="197"/>
      <c r="DN164" s="197"/>
      <c r="DO164" s="197"/>
      <c r="DP164" s="197"/>
      <c r="DQ164" s="197"/>
      <c r="DR164" s="197"/>
      <c r="DS164" s="197"/>
      <c r="DT164" s="197"/>
      <c r="DU164" s="197"/>
      <c r="DV164" s="197"/>
      <c r="DW164" s="197"/>
      <c r="DX164" s="197"/>
      <c r="DY164" s="197"/>
      <c r="DZ164" s="197"/>
      <c r="EA164" s="197"/>
      <c r="EB164" s="197"/>
      <c r="EC164" s="197"/>
      <c r="ED164" s="197"/>
      <c r="EE164" s="197"/>
      <c r="EF164" s="197"/>
      <c r="EG164" s="197"/>
      <c r="EH164" s="197"/>
      <c r="EI164" s="197"/>
      <c r="EJ164" s="197"/>
      <c r="EK164" s="197"/>
      <c r="EL164" s="197"/>
      <c r="EM164" s="197"/>
      <c r="EN164" s="197"/>
      <c r="EO164" s="197"/>
      <c r="EP164" s="197"/>
      <c r="EQ164" s="197"/>
      <c r="ER164" s="197"/>
      <c r="ES164" s="197"/>
      <c r="ET164" s="197"/>
      <c r="EU164" s="197"/>
      <c r="EV164" s="197"/>
      <c r="EW164" s="197"/>
      <c r="EX164" s="197"/>
      <c r="EY164" s="197"/>
      <c r="EZ164" s="197"/>
      <c r="FA164" s="197"/>
      <c r="FB164" s="197"/>
      <c r="FC164" s="197"/>
      <c r="FD164" s="197"/>
      <c r="FE164" s="197"/>
      <c r="FF164" s="197"/>
      <c r="FG164" s="197"/>
      <c r="FH164" s="197"/>
      <c r="FI164" s="197"/>
      <c r="FJ164" s="197"/>
      <c r="FK164" s="197"/>
      <c r="FL164" s="197"/>
      <c r="FM164" s="197"/>
      <c r="FN164" s="197"/>
      <c r="FO164" s="197"/>
      <c r="FP164" s="197"/>
      <c r="FQ164" s="197"/>
      <c r="FR164" s="197"/>
      <c r="FS164" s="197"/>
      <c r="FT164" s="197"/>
      <c r="FU164" s="197"/>
      <c r="FV164" s="197"/>
      <c r="FW164" s="197"/>
      <c r="FX164" s="197"/>
      <c r="FY164" s="197"/>
      <c r="FZ164" s="197"/>
      <c r="GA164" s="197"/>
      <c r="GB164" s="197"/>
      <c r="GC164" s="197"/>
      <c r="GD164" s="197"/>
      <c r="GE164" s="197"/>
      <c r="GF164" s="197"/>
      <c r="GG164" s="197"/>
      <c r="GH164" s="197"/>
      <c r="GI164" s="197"/>
      <c r="GJ164" s="197"/>
      <c r="GK164" s="197"/>
      <c r="GL164" s="197"/>
      <c r="GM164" s="197"/>
      <c r="GN164" s="197"/>
      <c r="GO164" s="197"/>
      <c r="GP164" s="197"/>
      <c r="GQ164" s="197"/>
      <c r="GR164" s="197"/>
      <c r="GS164" s="197"/>
      <c r="GT164" s="197"/>
      <c r="GU164" s="197"/>
      <c r="GV164" s="197"/>
      <c r="GW164" s="197"/>
      <c r="GX164" s="197"/>
      <c r="GY164" s="197"/>
      <c r="GZ164" s="197"/>
      <c r="HA164" s="197"/>
      <c r="HB164" s="197"/>
      <c r="HC164" s="197"/>
      <c r="HD164" s="197"/>
      <c r="HE164" s="197"/>
      <c r="HF164" s="197"/>
      <c r="HG164" s="197"/>
      <c r="HH164" s="197"/>
      <c r="HI164" s="197"/>
      <c r="HJ164" s="197"/>
      <c r="HK164" s="197"/>
      <c r="HL164" s="197"/>
      <c r="HM164" s="197"/>
      <c r="HN164" s="197"/>
      <c r="HO164" s="197"/>
      <c r="HP164" s="197"/>
      <c r="HQ164" s="197"/>
      <c r="HR164" s="197"/>
      <c r="HS164" s="197"/>
      <c r="HT164" s="197"/>
      <c r="HU164" s="197"/>
      <c r="HV164" s="197"/>
      <c r="HW164" s="197"/>
      <c r="HX164" s="197"/>
      <c r="HY164" s="197"/>
      <c r="HZ164" s="197"/>
      <c r="IA164" s="197"/>
      <c r="IB164" s="197"/>
      <c r="IC164" s="197"/>
      <c r="ID164" s="197"/>
      <c r="IE164" s="197"/>
      <c r="IF164" s="197"/>
      <c r="IG164" s="197"/>
      <c r="IH164" s="197"/>
      <c r="II164" s="197"/>
    </row>
    <row r="165" spans="1:243" ht="15" x14ac:dyDescent="0.2">
      <c r="A165" s="91">
        <v>291001</v>
      </c>
      <c r="B165" s="101" t="s">
        <v>676</v>
      </c>
      <c r="C165" s="102" t="s">
        <v>140</v>
      </c>
      <c r="D165" s="103" t="s">
        <v>8</v>
      </c>
      <c r="E165" s="104"/>
      <c r="F165" s="48">
        <v>34605</v>
      </c>
      <c r="G165" s="48">
        <f t="shared" si="64"/>
        <v>0</v>
      </c>
      <c r="H165" s="95"/>
      <c r="I165" s="95"/>
      <c r="J165" s="96"/>
      <c r="K165" s="96"/>
      <c r="L165" s="91"/>
      <c r="M165" s="91"/>
      <c r="N165" s="91"/>
      <c r="O165" s="91"/>
      <c r="P165" s="91"/>
      <c r="Q165" s="91"/>
      <c r="R165" s="97">
        <f t="shared" si="53"/>
        <v>0</v>
      </c>
      <c r="S165" s="98">
        <v>12415815</v>
      </c>
      <c r="T165" s="97"/>
      <c r="U165" s="100">
        <f t="shared" si="54"/>
        <v>0</v>
      </c>
      <c r="V165" s="107">
        <f t="shared" si="55"/>
        <v>0</v>
      </c>
      <c r="W165" s="91"/>
      <c r="X165" s="134">
        <v>197.95476349999998</v>
      </c>
      <c r="Y165" s="132">
        <f t="shared" si="65"/>
        <v>35816.175000000003</v>
      </c>
      <c r="Z165" s="106">
        <f t="shared" si="66"/>
        <v>7089982</v>
      </c>
      <c r="AA165" s="134">
        <v>187.54623649999999</v>
      </c>
      <c r="AB165" s="144">
        <v>36890.660250000001</v>
      </c>
      <c r="AC165" s="106">
        <f t="shared" si="68"/>
        <v>6918704</v>
      </c>
      <c r="AD165" s="108">
        <f t="shared" si="67"/>
        <v>14008686</v>
      </c>
      <c r="AE165" s="199"/>
      <c r="AF165" s="199"/>
    </row>
    <row r="166" spans="1:243" s="41" customFormat="1" ht="15" x14ac:dyDescent="0.2">
      <c r="A166" s="91">
        <v>290606</v>
      </c>
      <c r="B166" s="101" t="s">
        <v>677</v>
      </c>
      <c r="C166" s="102" t="s">
        <v>148</v>
      </c>
      <c r="D166" s="103" t="s">
        <v>8</v>
      </c>
      <c r="E166" s="104"/>
      <c r="F166" s="48">
        <v>36896</v>
      </c>
      <c r="G166" s="48">
        <f t="shared" si="64"/>
        <v>0</v>
      </c>
      <c r="H166" s="117"/>
      <c r="I166" s="117"/>
      <c r="J166" s="118"/>
      <c r="K166" s="118"/>
      <c r="L166" s="119"/>
      <c r="M166" s="119"/>
      <c r="N166" s="119"/>
      <c r="O166" s="119"/>
      <c r="P166" s="119"/>
      <c r="Q166" s="119"/>
      <c r="R166" s="97">
        <f t="shared" si="53"/>
        <v>0</v>
      </c>
      <c r="S166" s="120">
        <v>37140556.049999997</v>
      </c>
      <c r="T166" s="121"/>
      <c r="U166" s="100">
        <f t="shared" si="54"/>
        <v>0</v>
      </c>
      <c r="V166" s="107">
        <f t="shared" si="55"/>
        <v>0</v>
      </c>
      <c r="W166" s="119"/>
      <c r="X166" s="134">
        <v>532.33826099999987</v>
      </c>
      <c r="Y166" s="132">
        <f t="shared" si="65"/>
        <v>38187.360000000001</v>
      </c>
      <c r="Z166" s="106">
        <f t="shared" si="66"/>
        <v>20328593</v>
      </c>
      <c r="AA166" s="134">
        <v>504.34773899999982</v>
      </c>
      <c r="AB166" s="144">
        <v>39332.980799999998</v>
      </c>
      <c r="AC166" s="106">
        <f t="shared" si="68"/>
        <v>19837500</v>
      </c>
      <c r="AD166" s="108">
        <f t="shared" si="67"/>
        <v>40166093</v>
      </c>
      <c r="AE166" s="199"/>
      <c r="AF166" s="199"/>
      <c r="AG166" s="197"/>
      <c r="AH166" s="197"/>
      <c r="AI166" s="197"/>
      <c r="AJ166" s="197"/>
      <c r="AK166" s="197"/>
      <c r="AL166" s="197"/>
      <c r="AM166" s="197"/>
      <c r="AN166" s="197"/>
      <c r="AO166" s="197"/>
      <c r="AP166" s="197"/>
      <c r="AQ166" s="197"/>
      <c r="AR166" s="197"/>
      <c r="AS166" s="197"/>
      <c r="AT166" s="197"/>
      <c r="AU166" s="197"/>
      <c r="AV166" s="197"/>
      <c r="AW166" s="197"/>
      <c r="AX166" s="197"/>
      <c r="AY166" s="197"/>
      <c r="AZ166" s="197"/>
      <c r="BA166" s="197"/>
      <c r="BB166" s="197"/>
      <c r="BC166" s="197"/>
      <c r="BD166" s="197"/>
      <c r="BE166" s="197"/>
      <c r="BF166" s="197"/>
      <c r="BG166" s="197"/>
      <c r="BH166" s="197"/>
      <c r="BI166" s="197"/>
      <c r="BJ166" s="197"/>
      <c r="BK166" s="197"/>
      <c r="BL166" s="197"/>
      <c r="BM166" s="197"/>
      <c r="BN166" s="197"/>
      <c r="BO166" s="197"/>
      <c r="BP166" s="197"/>
      <c r="BQ166" s="197"/>
      <c r="BR166" s="197"/>
      <c r="BS166" s="197"/>
      <c r="BT166" s="197"/>
      <c r="BU166" s="197"/>
      <c r="BV166" s="197"/>
      <c r="BW166" s="197"/>
      <c r="BX166" s="197"/>
      <c r="BY166" s="197"/>
      <c r="BZ166" s="197"/>
      <c r="CA166" s="197"/>
      <c r="CB166" s="197"/>
      <c r="CC166" s="197"/>
      <c r="CD166" s="197"/>
      <c r="CE166" s="197"/>
      <c r="CF166" s="197"/>
      <c r="CG166" s="197"/>
      <c r="CH166" s="197"/>
      <c r="CI166" s="197"/>
      <c r="CJ166" s="197"/>
      <c r="CK166" s="197"/>
      <c r="CL166" s="197"/>
      <c r="CM166" s="197"/>
      <c r="CN166" s="197"/>
      <c r="CO166" s="197"/>
      <c r="CP166" s="197"/>
      <c r="CQ166" s="197"/>
      <c r="CR166" s="197"/>
      <c r="CS166" s="197"/>
      <c r="CT166" s="197"/>
      <c r="CU166" s="197"/>
      <c r="CV166" s="197"/>
      <c r="CW166" s="197"/>
      <c r="CX166" s="197"/>
      <c r="CY166" s="197"/>
      <c r="CZ166" s="197"/>
      <c r="DA166" s="197"/>
      <c r="DB166" s="197"/>
      <c r="DC166" s="197"/>
      <c r="DD166" s="197"/>
      <c r="DE166" s="197"/>
      <c r="DF166" s="197"/>
      <c r="DG166" s="197"/>
      <c r="DH166" s="197"/>
      <c r="DI166" s="197"/>
      <c r="DJ166" s="197"/>
      <c r="DK166" s="197"/>
      <c r="DL166" s="197"/>
      <c r="DM166" s="197"/>
      <c r="DN166" s="197"/>
      <c r="DO166" s="197"/>
      <c r="DP166" s="197"/>
      <c r="DQ166" s="197"/>
      <c r="DR166" s="197"/>
      <c r="DS166" s="197"/>
      <c r="DT166" s="197"/>
      <c r="DU166" s="197"/>
      <c r="DV166" s="197"/>
      <c r="DW166" s="197"/>
      <c r="DX166" s="197"/>
      <c r="DY166" s="197"/>
      <c r="DZ166" s="197"/>
      <c r="EA166" s="197"/>
      <c r="EB166" s="197"/>
      <c r="EC166" s="197"/>
      <c r="ED166" s="197"/>
      <c r="EE166" s="197"/>
      <c r="EF166" s="197"/>
      <c r="EG166" s="197"/>
      <c r="EH166" s="197"/>
      <c r="EI166" s="197"/>
      <c r="EJ166" s="197"/>
      <c r="EK166" s="197"/>
      <c r="EL166" s="197"/>
      <c r="EM166" s="197"/>
      <c r="EN166" s="197"/>
      <c r="EO166" s="197"/>
      <c r="EP166" s="197"/>
      <c r="EQ166" s="197"/>
      <c r="ER166" s="197"/>
      <c r="ES166" s="197"/>
      <c r="ET166" s="197"/>
      <c r="EU166" s="197"/>
      <c r="EV166" s="197"/>
      <c r="EW166" s="197"/>
      <c r="EX166" s="197"/>
      <c r="EY166" s="197"/>
      <c r="EZ166" s="197"/>
      <c r="FA166" s="197"/>
      <c r="FB166" s="197"/>
      <c r="FC166" s="197"/>
      <c r="FD166" s="197"/>
      <c r="FE166" s="197"/>
      <c r="FF166" s="197"/>
      <c r="FG166" s="197"/>
      <c r="FH166" s="197"/>
      <c r="FI166" s="197"/>
      <c r="FJ166" s="197"/>
      <c r="FK166" s="197"/>
      <c r="FL166" s="197"/>
      <c r="FM166" s="197"/>
      <c r="FN166" s="197"/>
      <c r="FO166" s="197"/>
      <c r="FP166" s="197"/>
      <c r="FQ166" s="197"/>
      <c r="FR166" s="197"/>
      <c r="FS166" s="197"/>
      <c r="FT166" s="197"/>
      <c r="FU166" s="197"/>
      <c r="FV166" s="197"/>
      <c r="FW166" s="197"/>
      <c r="FX166" s="197"/>
      <c r="FY166" s="197"/>
      <c r="FZ166" s="197"/>
      <c r="GA166" s="197"/>
      <c r="GB166" s="197"/>
      <c r="GC166" s="197"/>
      <c r="GD166" s="197"/>
      <c r="GE166" s="197"/>
      <c r="GF166" s="197"/>
      <c r="GG166" s="197"/>
      <c r="GH166" s="197"/>
      <c r="GI166" s="197"/>
      <c r="GJ166" s="197"/>
      <c r="GK166" s="197"/>
      <c r="GL166" s="197"/>
      <c r="GM166" s="197"/>
      <c r="GN166" s="197"/>
      <c r="GO166" s="197"/>
      <c r="GP166" s="197"/>
      <c r="GQ166" s="197"/>
      <c r="GR166" s="197"/>
      <c r="GS166" s="197"/>
      <c r="GT166" s="197"/>
      <c r="GU166" s="197"/>
      <c r="GV166" s="197"/>
      <c r="GW166" s="197"/>
      <c r="GX166" s="197"/>
      <c r="GY166" s="197"/>
      <c r="GZ166" s="197"/>
      <c r="HA166" s="197"/>
      <c r="HB166" s="197"/>
      <c r="HC166" s="197"/>
      <c r="HD166" s="197"/>
      <c r="HE166" s="197"/>
      <c r="HF166" s="197"/>
      <c r="HG166" s="197"/>
      <c r="HH166" s="197"/>
      <c r="HI166" s="197"/>
      <c r="HJ166" s="197"/>
      <c r="HK166" s="197"/>
      <c r="HL166" s="197"/>
      <c r="HM166" s="197"/>
      <c r="HN166" s="197"/>
      <c r="HO166" s="197"/>
      <c r="HP166" s="197"/>
      <c r="HQ166" s="197"/>
      <c r="HR166" s="197"/>
      <c r="HS166" s="197"/>
      <c r="HT166" s="197"/>
      <c r="HU166" s="197"/>
      <c r="HV166" s="197"/>
      <c r="HW166" s="197"/>
      <c r="HX166" s="197"/>
      <c r="HY166" s="197"/>
      <c r="HZ166" s="197"/>
      <c r="IA166" s="197"/>
      <c r="IB166" s="197"/>
      <c r="IC166" s="197"/>
      <c r="ID166" s="197"/>
      <c r="IE166" s="197"/>
      <c r="IF166" s="197"/>
      <c r="IG166" s="197"/>
      <c r="IH166" s="197"/>
      <c r="II166" s="197"/>
    </row>
    <row r="167" spans="1:243" x14ac:dyDescent="0.2">
      <c r="A167" s="91"/>
      <c r="B167" s="103"/>
      <c r="C167" s="102"/>
      <c r="D167" s="103"/>
      <c r="E167" s="102"/>
      <c r="F167" s="106"/>
      <c r="G167" s="108"/>
      <c r="H167" s="95"/>
      <c r="I167" s="95"/>
      <c r="J167" s="96"/>
      <c r="K167" s="96"/>
      <c r="L167" s="91"/>
      <c r="M167" s="91"/>
      <c r="N167" s="91"/>
      <c r="O167" s="91"/>
      <c r="P167" s="91"/>
      <c r="Q167" s="91"/>
      <c r="R167" s="97">
        <f t="shared" si="53"/>
        <v>0</v>
      </c>
      <c r="S167" s="98">
        <v>0</v>
      </c>
      <c r="T167" s="97"/>
      <c r="U167" s="100">
        <f t="shared" si="54"/>
        <v>0</v>
      </c>
      <c r="V167" s="107">
        <f t="shared" si="55"/>
        <v>0</v>
      </c>
      <c r="W167" s="91"/>
      <c r="X167" s="108"/>
      <c r="Y167" s="108"/>
      <c r="Z167" s="108"/>
      <c r="AA167" s="108"/>
      <c r="AB167" s="108"/>
      <c r="AC167" s="108"/>
      <c r="AD167" s="108"/>
    </row>
    <row r="168" spans="1:243" x14ac:dyDescent="0.2">
      <c r="A168" s="91"/>
      <c r="B168" s="103"/>
      <c r="C168" s="207" t="s">
        <v>101</v>
      </c>
      <c r="D168" s="207"/>
      <c r="E168" s="207"/>
      <c r="F168" s="208"/>
      <c r="G168" s="123">
        <f>SUM(G159:G167)/2</f>
        <v>0</v>
      </c>
      <c r="H168" s="95"/>
      <c r="I168" s="95"/>
      <c r="J168" s="96"/>
      <c r="K168" s="96"/>
      <c r="L168" s="91"/>
      <c r="M168" s="91"/>
      <c r="N168" s="91"/>
      <c r="O168" s="91"/>
      <c r="P168" s="91"/>
      <c r="Q168" s="91"/>
      <c r="R168" s="121">
        <f t="shared" si="53"/>
        <v>0</v>
      </c>
      <c r="S168" s="98">
        <v>213410423.52453598</v>
      </c>
      <c r="T168" s="97"/>
      <c r="U168" s="100">
        <f t="shared" si="54"/>
        <v>0</v>
      </c>
      <c r="V168" s="107">
        <f t="shared" si="55"/>
        <v>0</v>
      </c>
      <c r="W168" s="91"/>
      <c r="X168" s="123"/>
      <c r="Y168" s="123"/>
      <c r="Z168" s="123">
        <f>SUM(Z159:Z167)/2</f>
        <v>91735752</v>
      </c>
      <c r="AA168" s="123"/>
      <c r="AB168" s="123"/>
      <c r="AC168" s="123">
        <f>SUM(AC159:AC167)/2</f>
        <v>89519623</v>
      </c>
      <c r="AD168" s="123">
        <f>SUM(AD159:AD167)/2</f>
        <v>181255375</v>
      </c>
    </row>
    <row r="169" spans="1:243" x14ac:dyDescent="0.2">
      <c r="A169" s="91"/>
      <c r="B169" s="103"/>
      <c r="C169" s="102"/>
      <c r="D169" s="103"/>
      <c r="E169" s="102"/>
      <c r="F169" s="106"/>
      <c r="G169" s="110"/>
      <c r="H169" s="95"/>
      <c r="I169" s="95"/>
      <c r="J169" s="96"/>
      <c r="K169" s="96"/>
      <c r="L169" s="91"/>
      <c r="M169" s="91"/>
      <c r="N169" s="91"/>
      <c r="O169" s="91"/>
      <c r="P169" s="91"/>
      <c r="Q169" s="91"/>
      <c r="R169" s="97">
        <f t="shared" si="53"/>
        <v>0</v>
      </c>
      <c r="S169" s="98">
        <v>0</v>
      </c>
      <c r="T169" s="97"/>
      <c r="U169" s="100">
        <f t="shared" si="54"/>
        <v>0</v>
      </c>
      <c r="V169" s="107">
        <f t="shared" si="55"/>
        <v>0</v>
      </c>
      <c r="W169" s="91"/>
      <c r="X169" s="145"/>
      <c r="Y169" s="91"/>
      <c r="Z169" s="91"/>
      <c r="AA169" s="91"/>
      <c r="AB169" s="91"/>
      <c r="AC169" s="91"/>
      <c r="AD169" s="91"/>
    </row>
    <row r="170" spans="1:243" ht="30" customHeight="1" x14ac:dyDescent="0.2">
      <c r="A170" s="91"/>
      <c r="B170" s="86">
        <v>12</v>
      </c>
      <c r="C170" s="209" t="s">
        <v>75</v>
      </c>
      <c r="D170" s="209"/>
      <c r="E170" s="209"/>
      <c r="F170" s="210"/>
      <c r="G170" s="124"/>
      <c r="H170" s="95"/>
      <c r="I170" s="95"/>
      <c r="J170" s="96"/>
      <c r="K170" s="96"/>
      <c r="L170" s="91"/>
      <c r="M170" s="91"/>
      <c r="N170" s="91"/>
      <c r="O170" s="91"/>
      <c r="P170" s="91"/>
      <c r="Q170" s="91"/>
      <c r="R170" s="97">
        <f t="shared" si="53"/>
        <v>0</v>
      </c>
      <c r="S170" s="98">
        <v>0</v>
      </c>
      <c r="T170" s="97"/>
      <c r="U170" s="100">
        <f t="shared" si="54"/>
        <v>0</v>
      </c>
      <c r="V170" s="107">
        <f t="shared" si="55"/>
        <v>0</v>
      </c>
      <c r="W170" s="91"/>
      <c r="X170" s="124"/>
      <c r="Y170" s="124"/>
      <c r="Z170" s="124"/>
      <c r="AA170" s="124"/>
      <c r="AB170" s="124"/>
      <c r="AC170" s="124"/>
      <c r="AD170" s="124"/>
    </row>
    <row r="171" spans="1:243" ht="15" x14ac:dyDescent="0.2">
      <c r="A171" s="91"/>
      <c r="B171" s="92" t="s">
        <v>1018</v>
      </c>
      <c r="C171" s="93" t="s">
        <v>75</v>
      </c>
      <c r="D171" s="125"/>
      <c r="E171" s="128"/>
      <c r="F171" s="126"/>
      <c r="G171" s="94">
        <f>SUM(G172:Q181)</f>
        <v>0</v>
      </c>
      <c r="H171" s="95"/>
      <c r="I171" s="95"/>
      <c r="J171" s="96"/>
      <c r="K171" s="96"/>
      <c r="L171" s="91"/>
      <c r="M171" s="91"/>
      <c r="N171" s="91"/>
      <c r="O171" s="91"/>
      <c r="P171" s="91"/>
      <c r="Q171" s="91"/>
      <c r="R171" s="142">
        <f t="shared" si="53"/>
        <v>0</v>
      </c>
      <c r="S171" s="98">
        <v>97787582.099999994</v>
      </c>
      <c r="T171" s="97"/>
      <c r="U171" s="100">
        <f t="shared" si="54"/>
        <v>0</v>
      </c>
      <c r="V171" s="107">
        <f t="shared" si="55"/>
        <v>0</v>
      </c>
      <c r="W171" s="91"/>
      <c r="X171" s="94"/>
      <c r="Y171" s="94"/>
      <c r="Z171" s="94"/>
      <c r="AA171" s="94"/>
      <c r="AB171" s="94"/>
      <c r="AC171" s="94">
        <f>SUM(AC172:AC181)</f>
        <v>116009850</v>
      </c>
      <c r="AD171" s="94">
        <f>G171+Z171+AC171</f>
        <v>116009850</v>
      </c>
    </row>
    <row r="172" spans="1:243" s="41" customFormat="1" ht="30" x14ac:dyDescent="0.2">
      <c r="A172" s="91"/>
      <c r="B172" s="101" t="s">
        <v>155</v>
      </c>
      <c r="C172" s="102" t="s">
        <v>527</v>
      </c>
      <c r="D172" s="103" t="s">
        <v>5</v>
      </c>
      <c r="E172" s="104"/>
      <c r="F172" s="48">
        <v>1053565</v>
      </c>
      <c r="G172" s="48">
        <f t="shared" ref="G172:G205" si="69">ROUND(E172*F172,0)</f>
        <v>0</v>
      </c>
      <c r="H172" s="117"/>
      <c r="I172" s="117"/>
      <c r="J172" s="118"/>
      <c r="K172" s="118"/>
      <c r="L172" s="119"/>
      <c r="M172" s="119"/>
      <c r="N172" s="119"/>
      <c r="O172" s="119"/>
      <c r="P172" s="119"/>
      <c r="Q172" s="119"/>
      <c r="R172" s="97">
        <f t="shared" si="53"/>
        <v>0</v>
      </c>
      <c r="S172" s="120">
        <v>46658685.150000006</v>
      </c>
      <c r="T172" s="121"/>
      <c r="U172" s="100">
        <f t="shared" si="54"/>
        <v>0</v>
      </c>
      <c r="V172" s="107">
        <f t="shared" si="55"/>
        <v>0</v>
      </c>
      <c r="W172" s="119"/>
      <c r="X172" s="48"/>
      <c r="Y172" s="48"/>
      <c r="Z172" s="48"/>
      <c r="AA172" s="134">
        <v>29</v>
      </c>
      <c r="AB172" s="132">
        <v>1123152.9682499999</v>
      </c>
      <c r="AC172" s="106">
        <f t="shared" ref="AC172:AC181" si="70">ROUND(AA172*AB172,0)</f>
        <v>32571436</v>
      </c>
      <c r="AD172" s="108">
        <f t="shared" ref="AD172:AD181" si="71">G172+Z172+AC172</f>
        <v>32571436</v>
      </c>
      <c r="AE172" s="199"/>
      <c r="AF172" s="199"/>
      <c r="AG172" s="197"/>
      <c r="AH172" s="197"/>
      <c r="AI172" s="197"/>
      <c r="AJ172" s="197"/>
      <c r="AK172" s="197"/>
      <c r="AL172" s="197"/>
      <c r="AM172" s="197"/>
      <c r="AN172" s="197"/>
      <c r="AO172" s="197"/>
      <c r="AP172" s="197"/>
      <c r="AQ172" s="197"/>
      <c r="AR172" s="197"/>
      <c r="AS172" s="197"/>
      <c r="AT172" s="197"/>
      <c r="AU172" s="197"/>
      <c r="AV172" s="197"/>
      <c r="AW172" s="197"/>
      <c r="AX172" s="197"/>
      <c r="AY172" s="197"/>
      <c r="AZ172" s="197"/>
      <c r="BA172" s="197"/>
      <c r="BB172" s="197"/>
      <c r="BC172" s="197"/>
      <c r="BD172" s="197"/>
      <c r="BE172" s="197"/>
      <c r="BF172" s="197"/>
      <c r="BG172" s="197"/>
      <c r="BH172" s="197"/>
      <c r="BI172" s="197"/>
      <c r="BJ172" s="197"/>
      <c r="BK172" s="197"/>
      <c r="BL172" s="197"/>
      <c r="BM172" s="197"/>
      <c r="BN172" s="197"/>
      <c r="BO172" s="197"/>
      <c r="BP172" s="197"/>
      <c r="BQ172" s="197"/>
      <c r="BR172" s="197"/>
      <c r="BS172" s="197"/>
      <c r="BT172" s="197"/>
      <c r="BU172" s="197"/>
      <c r="BV172" s="197"/>
      <c r="BW172" s="197"/>
      <c r="BX172" s="197"/>
      <c r="BY172" s="197"/>
      <c r="BZ172" s="197"/>
      <c r="CA172" s="197"/>
      <c r="CB172" s="197"/>
      <c r="CC172" s="197"/>
      <c r="CD172" s="197"/>
      <c r="CE172" s="197"/>
      <c r="CF172" s="197"/>
      <c r="CG172" s="197"/>
      <c r="CH172" s="197"/>
      <c r="CI172" s="197"/>
      <c r="CJ172" s="197"/>
      <c r="CK172" s="197"/>
      <c r="CL172" s="197"/>
      <c r="CM172" s="197"/>
      <c r="CN172" s="197"/>
      <c r="CO172" s="197"/>
      <c r="CP172" s="197"/>
      <c r="CQ172" s="197"/>
      <c r="CR172" s="197"/>
      <c r="CS172" s="197"/>
      <c r="CT172" s="197"/>
      <c r="CU172" s="197"/>
      <c r="CV172" s="197"/>
      <c r="CW172" s="197"/>
      <c r="CX172" s="197"/>
      <c r="CY172" s="197"/>
      <c r="CZ172" s="197"/>
      <c r="DA172" s="197"/>
      <c r="DB172" s="197"/>
      <c r="DC172" s="197"/>
      <c r="DD172" s="197"/>
      <c r="DE172" s="197"/>
      <c r="DF172" s="197"/>
      <c r="DG172" s="197"/>
      <c r="DH172" s="197"/>
      <c r="DI172" s="197"/>
      <c r="DJ172" s="197"/>
      <c r="DK172" s="197"/>
      <c r="DL172" s="197"/>
      <c r="DM172" s="197"/>
      <c r="DN172" s="197"/>
      <c r="DO172" s="197"/>
      <c r="DP172" s="197"/>
      <c r="DQ172" s="197"/>
      <c r="DR172" s="197"/>
      <c r="DS172" s="197"/>
      <c r="DT172" s="197"/>
      <c r="DU172" s="197"/>
      <c r="DV172" s="197"/>
      <c r="DW172" s="197"/>
      <c r="DX172" s="197"/>
      <c r="DY172" s="197"/>
      <c r="DZ172" s="197"/>
      <c r="EA172" s="197"/>
      <c r="EB172" s="197"/>
      <c r="EC172" s="197"/>
      <c r="ED172" s="197"/>
      <c r="EE172" s="197"/>
      <c r="EF172" s="197"/>
      <c r="EG172" s="197"/>
      <c r="EH172" s="197"/>
      <c r="EI172" s="197"/>
      <c r="EJ172" s="197"/>
      <c r="EK172" s="197"/>
      <c r="EL172" s="197"/>
      <c r="EM172" s="197"/>
      <c r="EN172" s="197"/>
      <c r="EO172" s="197"/>
      <c r="EP172" s="197"/>
      <c r="EQ172" s="197"/>
      <c r="ER172" s="197"/>
      <c r="ES172" s="197"/>
      <c r="ET172" s="197"/>
      <c r="EU172" s="197"/>
      <c r="EV172" s="197"/>
      <c r="EW172" s="197"/>
      <c r="EX172" s="197"/>
      <c r="EY172" s="197"/>
      <c r="EZ172" s="197"/>
      <c r="FA172" s="197"/>
      <c r="FB172" s="197"/>
      <c r="FC172" s="197"/>
      <c r="FD172" s="197"/>
      <c r="FE172" s="197"/>
      <c r="FF172" s="197"/>
      <c r="FG172" s="197"/>
      <c r="FH172" s="197"/>
      <c r="FI172" s="197"/>
      <c r="FJ172" s="197"/>
      <c r="FK172" s="197"/>
      <c r="FL172" s="197"/>
      <c r="FM172" s="197"/>
      <c r="FN172" s="197"/>
      <c r="FO172" s="197"/>
      <c r="FP172" s="197"/>
      <c r="FQ172" s="197"/>
      <c r="FR172" s="197"/>
      <c r="FS172" s="197"/>
      <c r="FT172" s="197"/>
      <c r="FU172" s="197"/>
      <c r="FV172" s="197"/>
      <c r="FW172" s="197"/>
      <c r="FX172" s="197"/>
      <c r="FY172" s="197"/>
      <c r="FZ172" s="197"/>
      <c r="GA172" s="197"/>
      <c r="GB172" s="197"/>
      <c r="GC172" s="197"/>
      <c r="GD172" s="197"/>
      <c r="GE172" s="197"/>
      <c r="GF172" s="197"/>
      <c r="GG172" s="197"/>
      <c r="GH172" s="197"/>
      <c r="GI172" s="197"/>
      <c r="GJ172" s="197"/>
      <c r="GK172" s="197"/>
      <c r="GL172" s="197"/>
      <c r="GM172" s="197"/>
      <c r="GN172" s="197"/>
      <c r="GO172" s="197"/>
      <c r="GP172" s="197"/>
      <c r="GQ172" s="197"/>
      <c r="GR172" s="197"/>
      <c r="GS172" s="197"/>
      <c r="GT172" s="197"/>
      <c r="GU172" s="197"/>
      <c r="GV172" s="197"/>
      <c r="GW172" s="197"/>
      <c r="GX172" s="197"/>
      <c r="GY172" s="197"/>
      <c r="GZ172" s="197"/>
      <c r="HA172" s="197"/>
      <c r="HB172" s="197"/>
      <c r="HC172" s="197"/>
      <c r="HD172" s="197"/>
      <c r="HE172" s="197"/>
      <c r="HF172" s="197"/>
      <c r="HG172" s="197"/>
      <c r="HH172" s="197"/>
      <c r="HI172" s="197"/>
      <c r="HJ172" s="197"/>
      <c r="HK172" s="197"/>
      <c r="HL172" s="197"/>
      <c r="HM172" s="197"/>
      <c r="HN172" s="197"/>
      <c r="HO172" s="197"/>
      <c r="HP172" s="197"/>
      <c r="HQ172" s="197"/>
      <c r="HR172" s="197"/>
      <c r="HS172" s="197"/>
      <c r="HT172" s="197"/>
      <c r="HU172" s="197"/>
      <c r="HV172" s="197"/>
      <c r="HW172" s="197"/>
      <c r="HX172" s="197"/>
      <c r="HY172" s="197"/>
      <c r="HZ172" s="197"/>
      <c r="IA172" s="197"/>
      <c r="IB172" s="197"/>
      <c r="IC172" s="197"/>
      <c r="ID172" s="197"/>
      <c r="IE172" s="197"/>
      <c r="IF172" s="197"/>
      <c r="IG172" s="197"/>
      <c r="IH172" s="197"/>
      <c r="II172" s="197"/>
    </row>
    <row r="173" spans="1:243" s="41" customFormat="1" ht="30" x14ac:dyDescent="0.2">
      <c r="A173" s="91"/>
      <c r="B173" s="101" t="s">
        <v>156</v>
      </c>
      <c r="C173" s="102" t="s">
        <v>526</v>
      </c>
      <c r="D173" s="103" t="s">
        <v>5</v>
      </c>
      <c r="E173" s="104"/>
      <c r="F173" s="48">
        <v>877250</v>
      </c>
      <c r="G173" s="48">
        <f t="shared" si="69"/>
        <v>0</v>
      </c>
      <c r="H173" s="117"/>
      <c r="I173" s="117"/>
      <c r="J173" s="118"/>
      <c r="K173" s="118"/>
      <c r="L173" s="119"/>
      <c r="M173" s="119"/>
      <c r="N173" s="119"/>
      <c r="O173" s="119"/>
      <c r="P173" s="119"/>
      <c r="Q173" s="119"/>
      <c r="R173" s="97">
        <f t="shared" si="53"/>
        <v>0</v>
      </c>
      <c r="S173" s="120">
        <v>30812319</v>
      </c>
      <c r="T173" s="121"/>
      <c r="U173" s="100">
        <f t="shared" si="54"/>
        <v>0</v>
      </c>
      <c r="V173" s="107">
        <f t="shared" si="55"/>
        <v>0</v>
      </c>
      <c r="W173" s="119"/>
      <c r="X173" s="48"/>
      <c r="Y173" s="48"/>
      <c r="Z173" s="48"/>
      <c r="AA173" s="134">
        <v>23</v>
      </c>
      <c r="AB173" s="132">
        <v>935192.36250000005</v>
      </c>
      <c r="AC173" s="106">
        <f t="shared" si="70"/>
        <v>21509424</v>
      </c>
      <c r="AD173" s="108">
        <f t="shared" si="71"/>
        <v>21509424</v>
      </c>
      <c r="AE173" s="199"/>
      <c r="AF173" s="199"/>
      <c r="AG173" s="197"/>
      <c r="AH173" s="197"/>
      <c r="AI173" s="197"/>
      <c r="AJ173" s="197"/>
      <c r="AK173" s="197"/>
      <c r="AL173" s="197"/>
      <c r="AM173" s="197"/>
      <c r="AN173" s="197"/>
      <c r="AO173" s="197"/>
      <c r="AP173" s="197"/>
      <c r="AQ173" s="197"/>
      <c r="AR173" s="197"/>
      <c r="AS173" s="197"/>
      <c r="AT173" s="197"/>
      <c r="AU173" s="197"/>
      <c r="AV173" s="197"/>
      <c r="AW173" s="197"/>
      <c r="AX173" s="197"/>
      <c r="AY173" s="197"/>
      <c r="AZ173" s="197"/>
      <c r="BA173" s="197"/>
      <c r="BB173" s="197"/>
      <c r="BC173" s="197"/>
      <c r="BD173" s="197"/>
      <c r="BE173" s="197"/>
      <c r="BF173" s="197"/>
      <c r="BG173" s="197"/>
      <c r="BH173" s="197"/>
      <c r="BI173" s="197"/>
      <c r="BJ173" s="197"/>
      <c r="BK173" s="197"/>
      <c r="BL173" s="197"/>
      <c r="BM173" s="197"/>
      <c r="BN173" s="197"/>
      <c r="BO173" s="197"/>
      <c r="BP173" s="197"/>
      <c r="BQ173" s="197"/>
      <c r="BR173" s="197"/>
      <c r="BS173" s="197"/>
      <c r="BT173" s="197"/>
      <c r="BU173" s="197"/>
      <c r="BV173" s="197"/>
      <c r="BW173" s="197"/>
      <c r="BX173" s="197"/>
      <c r="BY173" s="197"/>
      <c r="BZ173" s="197"/>
      <c r="CA173" s="197"/>
      <c r="CB173" s="197"/>
      <c r="CC173" s="197"/>
      <c r="CD173" s="197"/>
      <c r="CE173" s="197"/>
      <c r="CF173" s="197"/>
      <c r="CG173" s="197"/>
      <c r="CH173" s="197"/>
      <c r="CI173" s="197"/>
      <c r="CJ173" s="197"/>
      <c r="CK173" s="197"/>
      <c r="CL173" s="197"/>
      <c r="CM173" s="197"/>
      <c r="CN173" s="197"/>
      <c r="CO173" s="197"/>
      <c r="CP173" s="197"/>
      <c r="CQ173" s="197"/>
      <c r="CR173" s="197"/>
      <c r="CS173" s="197"/>
      <c r="CT173" s="197"/>
      <c r="CU173" s="197"/>
      <c r="CV173" s="197"/>
      <c r="CW173" s="197"/>
      <c r="CX173" s="197"/>
      <c r="CY173" s="197"/>
      <c r="CZ173" s="197"/>
      <c r="DA173" s="197"/>
      <c r="DB173" s="197"/>
      <c r="DC173" s="197"/>
      <c r="DD173" s="197"/>
      <c r="DE173" s="197"/>
      <c r="DF173" s="197"/>
      <c r="DG173" s="197"/>
      <c r="DH173" s="197"/>
      <c r="DI173" s="197"/>
      <c r="DJ173" s="197"/>
      <c r="DK173" s="197"/>
      <c r="DL173" s="197"/>
      <c r="DM173" s="197"/>
      <c r="DN173" s="197"/>
      <c r="DO173" s="197"/>
      <c r="DP173" s="197"/>
      <c r="DQ173" s="197"/>
      <c r="DR173" s="197"/>
      <c r="DS173" s="197"/>
      <c r="DT173" s="197"/>
      <c r="DU173" s="197"/>
      <c r="DV173" s="197"/>
      <c r="DW173" s="197"/>
      <c r="DX173" s="197"/>
      <c r="DY173" s="197"/>
      <c r="DZ173" s="197"/>
      <c r="EA173" s="197"/>
      <c r="EB173" s="197"/>
      <c r="EC173" s="197"/>
      <c r="ED173" s="197"/>
      <c r="EE173" s="197"/>
      <c r="EF173" s="197"/>
      <c r="EG173" s="197"/>
      <c r="EH173" s="197"/>
      <c r="EI173" s="197"/>
      <c r="EJ173" s="197"/>
      <c r="EK173" s="197"/>
      <c r="EL173" s="197"/>
      <c r="EM173" s="197"/>
      <c r="EN173" s="197"/>
      <c r="EO173" s="197"/>
      <c r="EP173" s="197"/>
      <c r="EQ173" s="197"/>
      <c r="ER173" s="197"/>
      <c r="ES173" s="197"/>
      <c r="ET173" s="197"/>
      <c r="EU173" s="197"/>
      <c r="EV173" s="197"/>
      <c r="EW173" s="197"/>
      <c r="EX173" s="197"/>
      <c r="EY173" s="197"/>
      <c r="EZ173" s="197"/>
      <c r="FA173" s="197"/>
      <c r="FB173" s="197"/>
      <c r="FC173" s="197"/>
      <c r="FD173" s="197"/>
      <c r="FE173" s="197"/>
      <c r="FF173" s="197"/>
      <c r="FG173" s="197"/>
      <c r="FH173" s="197"/>
      <c r="FI173" s="197"/>
      <c r="FJ173" s="197"/>
      <c r="FK173" s="197"/>
      <c r="FL173" s="197"/>
      <c r="FM173" s="197"/>
      <c r="FN173" s="197"/>
      <c r="FO173" s="197"/>
      <c r="FP173" s="197"/>
      <c r="FQ173" s="197"/>
      <c r="FR173" s="197"/>
      <c r="FS173" s="197"/>
      <c r="FT173" s="197"/>
      <c r="FU173" s="197"/>
      <c r="FV173" s="197"/>
      <c r="FW173" s="197"/>
      <c r="FX173" s="197"/>
      <c r="FY173" s="197"/>
      <c r="FZ173" s="197"/>
      <c r="GA173" s="197"/>
      <c r="GB173" s="197"/>
      <c r="GC173" s="197"/>
      <c r="GD173" s="197"/>
      <c r="GE173" s="197"/>
      <c r="GF173" s="197"/>
      <c r="GG173" s="197"/>
      <c r="GH173" s="197"/>
      <c r="GI173" s="197"/>
      <c r="GJ173" s="197"/>
      <c r="GK173" s="197"/>
      <c r="GL173" s="197"/>
      <c r="GM173" s="197"/>
      <c r="GN173" s="197"/>
      <c r="GO173" s="197"/>
      <c r="GP173" s="197"/>
      <c r="GQ173" s="197"/>
      <c r="GR173" s="197"/>
      <c r="GS173" s="197"/>
      <c r="GT173" s="197"/>
      <c r="GU173" s="197"/>
      <c r="GV173" s="197"/>
      <c r="GW173" s="197"/>
      <c r="GX173" s="197"/>
      <c r="GY173" s="197"/>
      <c r="GZ173" s="197"/>
      <c r="HA173" s="197"/>
      <c r="HB173" s="197"/>
      <c r="HC173" s="197"/>
      <c r="HD173" s="197"/>
      <c r="HE173" s="197"/>
      <c r="HF173" s="197"/>
      <c r="HG173" s="197"/>
      <c r="HH173" s="197"/>
      <c r="HI173" s="197"/>
      <c r="HJ173" s="197"/>
      <c r="HK173" s="197"/>
      <c r="HL173" s="197"/>
      <c r="HM173" s="197"/>
      <c r="HN173" s="197"/>
      <c r="HO173" s="197"/>
      <c r="HP173" s="197"/>
      <c r="HQ173" s="197"/>
      <c r="HR173" s="197"/>
      <c r="HS173" s="197"/>
      <c r="HT173" s="197"/>
      <c r="HU173" s="197"/>
      <c r="HV173" s="197"/>
      <c r="HW173" s="197"/>
      <c r="HX173" s="197"/>
      <c r="HY173" s="197"/>
      <c r="HZ173" s="197"/>
      <c r="IA173" s="197"/>
      <c r="IB173" s="197"/>
      <c r="IC173" s="197"/>
      <c r="ID173" s="197"/>
      <c r="IE173" s="197"/>
      <c r="IF173" s="197"/>
      <c r="IG173" s="197"/>
      <c r="IH173" s="197"/>
      <c r="II173" s="197"/>
    </row>
    <row r="174" spans="1:243" s="41" customFormat="1" ht="30" x14ac:dyDescent="0.2">
      <c r="A174" s="91"/>
      <c r="B174" s="101" t="s">
        <v>157</v>
      </c>
      <c r="C174" s="102" t="s">
        <v>528</v>
      </c>
      <c r="D174" s="103" t="s">
        <v>5</v>
      </c>
      <c r="E174" s="104"/>
      <c r="F174" s="48">
        <v>2107130</v>
      </c>
      <c r="G174" s="48">
        <f t="shared" si="69"/>
        <v>0</v>
      </c>
      <c r="H174" s="117"/>
      <c r="I174" s="117"/>
      <c r="J174" s="118"/>
      <c r="K174" s="118"/>
      <c r="L174" s="119"/>
      <c r="M174" s="119"/>
      <c r="N174" s="119"/>
      <c r="O174" s="119"/>
      <c r="P174" s="119"/>
      <c r="Q174" s="119"/>
      <c r="R174" s="97">
        <f t="shared" si="53"/>
        <v>0</v>
      </c>
      <c r="S174" s="120">
        <v>3217839.75</v>
      </c>
      <c r="T174" s="121"/>
      <c r="U174" s="100">
        <f t="shared" si="54"/>
        <v>0</v>
      </c>
      <c r="V174" s="107">
        <f t="shared" si="55"/>
        <v>0</v>
      </c>
      <c r="W174" s="119"/>
      <c r="X174" s="48"/>
      <c r="Y174" s="48"/>
      <c r="Z174" s="48"/>
      <c r="AA174" s="134">
        <v>1</v>
      </c>
      <c r="AB174" s="132">
        <v>2246305.9364999998</v>
      </c>
      <c r="AC174" s="106">
        <f t="shared" si="70"/>
        <v>2246306</v>
      </c>
      <c r="AD174" s="108">
        <f t="shared" si="71"/>
        <v>2246306</v>
      </c>
      <c r="AE174" s="199"/>
      <c r="AF174" s="199"/>
      <c r="AG174" s="197"/>
      <c r="AH174" s="197"/>
      <c r="AI174" s="197"/>
      <c r="AJ174" s="197"/>
      <c r="AK174" s="197"/>
      <c r="AL174" s="197"/>
      <c r="AM174" s="197"/>
      <c r="AN174" s="197"/>
      <c r="AO174" s="197"/>
      <c r="AP174" s="197"/>
      <c r="AQ174" s="197"/>
      <c r="AR174" s="197"/>
      <c r="AS174" s="197"/>
      <c r="AT174" s="197"/>
      <c r="AU174" s="197"/>
      <c r="AV174" s="197"/>
      <c r="AW174" s="197"/>
      <c r="AX174" s="197"/>
      <c r="AY174" s="197"/>
      <c r="AZ174" s="197"/>
      <c r="BA174" s="197"/>
      <c r="BB174" s="197"/>
      <c r="BC174" s="197"/>
      <c r="BD174" s="197"/>
      <c r="BE174" s="197"/>
      <c r="BF174" s="197"/>
      <c r="BG174" s="197"/>
      <c r="BH174" s="197"/>
      <c r="BI174" s="197"/>
      <c r="BJ174" s="197"/>
      <c r="BK174" s="197"/>
      <c r="BL174" s="197"/>
      <c r="BM174" s="197"/>
      <c r="BN174" s="197"/>
      <c r="BO174" s="197"/>
      <c r="BP174" s="197"/>
      <c r="BQ174" s="197"/>
      <c r="BR174" s="197"/>
      <c r="BS174" s="197"/>
      <c r="BT174" s="197"/>
      <c r="BU174" s="197"/>
      <c r="BV174" s="197"/>
      <c r="BW174" s="197"/>
      <c r="BX174" s="197"/>
      <c r="BY174" s="197"/>
      <c r="BZ174" s="197"/>
      <c r="CA174" s="197"/>
      <c r="CB174" s="197"/>
      <c r="CC174" s="197"/>
      <c r="CD174" s="197"/>
      <c r="CE174" s="197"/>
      <c r="CF174" s="197"/>
      <c r="CG174" s="197"/>
      <c r="CH174" s="197"/>
      <c r="CI174" s="197"/>
      <c r="CJ174" s="197"/>
      <c r="CK174" s="197"/>
      <c r="CL174" s="197"/>
      <c r="CM174" s="197"/>
      <c r="CN174" s="197"/>
      <c r="CO174" s="197"/>
      <c r="CP174" s="197"/>
      <c r="CQ174" s="197"/>
      <c r="CR174" s="197"/>
      <c r="CS174" s="197"/>
      <c r="CT174" s="197"/>
      <c r="CU174" s="197"/>
      <c r="CV174" s="197"/>
      <c r="CW174" s="197"/>
      <c r="CX174" s="197"/>
      <c r="CY174" s="197"/>
      <c r="CZ174" s="197"/>
      <c r="DA174" s="197"/>
      <c r="DB174" s="197"/>
      <c r="DC174" s="197"/>
      <c r="DD174" s="197"/>
      <c r="DE174" s="197"/>
      <c r="DF174" s="197"/>
      <c r="DG174" s="197"/>
      <c r="DH174" s="197"/>
      <c r="DI174" s="197"/>
      <c r="DJ174" s="197"/>
      <c r="DK174" s="197"/>
      <c r="DL174" s="197"/>
      <c r="DM174" s="197"/>
      <c r="DN174" s="197"/>
      <c r="DO174" s="197"/>
      <c r="DP174" s="197"/>
      <c r="DQ174" s="197"/>
      <c r="DR174" s="197"/>
      <c r="DS174" s="197"/>
      <c r="DT174" s="197"/>
      <c r="DU174" s="197"/>
      <c r="DV174" s="197"/>
      <c r="DW174" s="197"/>
      <c r="DX174" s="197"/>
      <c r="DY174" s="197"/>
      <c r="DZ174" s="197"/>
      <c r="EA174" s="197"/>
      <c r="EB174" s="197"/>
      <c r="EC174" s="197"/>
      <c r="ED174" s="197"/>
      <c r="EE174" s="197"/>
      <c r="EF174" s="197"/>
      <c r="EG174" s="197"/>
      <c r="EH174" s="197"/>
      <c r="EI174" s="197"/>
      <c r="EJ174" s="197"/>
      <c r="EK174" s="197"/>
      <c r="EL174" s="197"/>
      <c r="EM174" s="197"/>
      <c r="EN174" s="197"/>
      <c r="EO174" s="197"/>
      <c r="EP174" s="197"/>
      <c r="EQ174" s="197"/>
      <c r="ER174" s="197"/>
      <c r="ES174" s="197"/>
      <c r="ET174" s="197"/>
      <c r="EU174" s="197"/>
      <c r="EV174" s="197"/>
      <c r="EW174" s="197"/>
      <c r="EX174" s="197"/>
      <c r="EY174" s="197"/>
      <c r="EZ174" s="197"/>
      <c r="FA174" s="197"/>
      <c r="FB174" s="197"/>
      <c r="FC174" s="197"/>
      <c r="FD174" s="197"/>
      <c r="FE174" s="197"/>
      <c r="FF174" s="197"/>
      <c r="FG174" s="197"/>
      <c r="FH174" s="197"/>
      <c r="FI174" s="197"/>
      <c r="FJ174" s="197"/>
      <c r="FK174" s="197"/>
      <c r="FL174" s="197"/>
      <c r="FM174" s="197"/>
      <c r="FN174" s="197"/>
      <c r="FO174" s="197"/>
      <c r="FP174" s="197"/>
      <c r="FQ174" s="197"/>
      <c r="FR174" s="197"/>
      <c r="FS174" s="197"/>
      <c r="FT174" s="197"/>
      <c r="FU174" s="197"/>
      <c r="FV174" s="197"/>
      <c r="FW174" s="197"/>
      <c r="FX174" s="197"/>
      <c r="FY174" s="197"/>
      <c r="FZ174" s="197"/>
      <c r="GA174" s="197"/>
      <c r="GB174" s="197"/>
      <c r="GC174" s="197"/>
      <c r="GD174" s="197"/>
      <c r="GE174" s="197"/>
      <c r="GF174" s="197"/>
      <c r="GG174" s="197"/>
      <c r="GH174" s="197"/>
      <c r="GI174" s="197"/>
      <c r="GJ174" s="197"/>
      <c r="GK174" s="197"/>
      <c r="GL174" s="197"/>
      <c r="GM174" s="197"/>
      <c r="GN174" s="197"/>
      <c r="GO174" s="197"/>
      <c r="GP174" s="197"/>
      <c r="GQ174" s="197"/>
      <c r="GR174" s="197"/>
      <c r="GS174" s="197"/>
      <c r="GT174" s="197"/>
      <c r="GU174" s="197"/>
      <c r="GV174" s="197"/>
      <c r="GW174" s="197"/>
      <c r="GX174" s="197"/>
      <c r="GY174" s="197"/>
      <c r="GZ174" s="197"/>
      <c r="HA174" s="197"/>
      <c r="HB174" s="197"/>
      <c r="HC174" s="197"/>
      <c r="HD174" s="197"/>
      <c r="HE174" s="197"/>
      <c r="HF174" s="197"/>
      <c r="HG174" s="197"/>
      <c r="HH174" s="197"/>
      <c r="HI174" s="197"/>
      <c r="HJ174" s="197"/>
      <c r="HK174" s="197"/>
      <c r="HL174" s="197"/>
      <c r="HM174" s="197"/>
      <c r="HN174" s="197"/>
      <c r="HO174" s="197"/>
      <c r="HP174" s="197"/>
      <c r="HQ174" s="197"/>
      <c r="HR174" s="197"/>
      <c r="HS174" s="197"/>
      <c r="HT174" s="197"/>
      <c r="HU174" s="197"/>
      <c r="HV174" s="197"/>
      <c r="HW174" s="197"/>
      <c r="HX174" s="197"/>
      <c r="HY174" s="197"/>
      <c r="HZ174" s="197"/>
      <c r="IA174" s="197"/>
      <c r="IB174" s="197"/>
      <c r="IC174" s="197"/>
      <c r="ID174" s="197"/>
      <c r="IE174" s="197"/>
      <c r="IF174" s="197"/>
      <c r="IG174" s="197"/>
      <c r="IH174" s="197"/>
      <c r="II174" s="197"/>
    </row>
    <row r="175" spans="1:243" ht="15" x14ac:dyDescent="0.2">
      <c r="A175" s="91">
        <v>270612</v>
      </c>
      <c r="B175" s="101" t="s">
        <v>158</v>
      </c>
      <c r="C175" s="102" t="s">
        <v>77</v>
      </c>
      <c r="D175" s="103" t="s">
        <v>5</v>
      </c>
      <c r="E175" s="104"/>
      <c r="F175" s="48">
        <v>125753</v>
      </c>
      <c r="G175" s="48">
        <f t="shared" si="69"/>
        <v>0</v>
      </c>
      <c r="H175" s="95"/>
      <c r="I175" s="95"/>
      <c r="J175" s="96"/>
      <c r="K175" s="96"/>
      <c r="L175" s="91"/>
      <c r="M175" s="91"/>
      <c r="N175" s="91"/>
      <c r="O175" s="91"/>
      <c r="P175" s="91"/>
      <c r="Q175" s="91"/>
      <c r="R175" s="97">
        <f t="shared" si="53"/>
        <v>0</v>
      </c>
      <c r="S175" s="98">
        <v>275645.69999999995</v>
      </c>
      <c r="T175" s="97"/>
      <c r="U175" s="100">
        <f t="shared" si="54"/>
        <v>0</v>
      </c>
      <c r="V175" s="107">
        <f t="shared" si="55"/>
        <v>0</v>
      </c>
      <c r="W175" s="91"/>
      <c r="X175" s="48"/>
      <c r="Y175" s="48"/>
      <c r="Z175" s="48"/>
      <c r="AA175" s="134">
        <v>2</v>
      </c>
      <c r="AB175" s="132">
        <v>134058.98564999999</v>
      </c>
      <c r="AC175" s="106">
        <f t="shared" si="70"/>
        <v>268118</v>
      </c>
      <c r="AD175" s="108">
        <f t="shared" si="71"/>
        <v>268118</v>
      </c>
      <c r="AE175" s="199"/>
      <c r="AF175" s="199"/>
    </row>
    <row r="176" spans="1:243" ht="15" x14ac:dyDescent="0.2">
      <c r="A176" s="91">
        <v>270606</v>
      </c>
      <c r="B176" s="101" t="s">
        <v>159</v>
      </c>
      <c r="C176" s="102" t="s">
        <v>550</v>
      </c>
      <c r="D176" s="103" t="s">
        <v>5</v>
      </c>
      <c r="E176" s="104"/>
      <c r="F176" s="48">
        <v>61262</v>
      </c>
      <c r="G176" s="48">
        <f t="shared" si="69"/>
        <v>0</v>
      </c>
      <c r="H176" s="95"/>
      <c r="I176" s="95"/>
      <c r="J176" s="96"/>
      <c r="K176" s="96"/>
      <c r="L176" s="91"/>
      <c r="M176" s="91"/>
      <c r="N176" s="91"/>
      <c r="O176" s="91"/>
      <c r="P176" s="91"/>
      <c r="Q176" s="91"/>
      <c r="R176" s="97">
        <f t="shared" si="53"/>
        <v>0</v>
      </c>
      <c r="S176" s="98">
        <v>0</v>
      </c>
      <c r="T176" s="97"/>
      <c r="U176" s="100">
        <f t="shared" si="54"/>
        <v>0</v>
      </c>
      <c r="V176" s="107">
        <f t="shared" si="55"/>
        <v>0</v>
      </c>
      <c r="W176" s="91"/>
      <c r="X176" s="48"/>
      <c r="Y176" s="48"/>
      <c r="Z176" s="48"/>
      <c r="AA176" s="134">
        <v>4</v>
      </c>
      <c r="AB176" s="132">
        <v>65308.355100000001</v>
      </c>
      <c r="AC176" s="106">
        <f t="shared" si="70"/>
        <v>261233</v>
      </c>
      <c r="AD176" s="108">
        <f t="shared" si="71"/>
        <v>261233</v>
      </c>
      <c r="AE176" s="199"/>
      <c r="AF176" s="199"/>
    </row>
    <row r="177" spans="1:243" ht="15" x14ac:dyDescent="0.2">
      <c r="A177" s="91">
        <v>270502</v>
      </c>
      <c r="B177" s="101" t="s">
        <v>160</v>
      </c>
      <c r="C177" s="102" t="s">
        <v>836</v>
      </c>
      <c r="D177" s="103" t="s">
        <v>5</v>
      </c>
      <c r="E177" s="104"/>
      <c r="F177" s="48">
        <v>112573</v>
      </c>
      <c r="G177" s="48">
        <f t="shared" si="69"/>
        <v>0</v>
      </c>
      <c r="H177" s="95"/>
      <c r="I177" s="95"/>
      <c r="J177" s="96"/>
      <c r="K177" s="96"/>
      <c r="L177" s="91"/>
      <c r="M177" s="91"/>
      <c r="N177" s="91"/>
      <c r="O177" s="91"/>
      <c r="P177" s="91"/>
      <c r="Q177" s="91"/>
      <c r="R177" s="97">
        <f t="shared" si="53"/>
        <v>0</v>
      </c>
      <c r="S177" s="98">
        <v>7675793.5500000007</v>
      </c>
      <c r="T177" s="97"/>
      <c r="U177" s="100">
        <f t="shared" si="54"/>
        <v>0</v>
      </c>
      <c r="V177" s="107">
        <f t="shared" si="55"/>
        <v>0</v>
      </c>
      <c r="W177" s="91"/>
      <c r="X177" s="48"/>
      <c r="Y177" s="48"/>
      <c r="Z177" s="48"/>
      <c r="AA177" s="134">
        <v>39</v>
      </c>
      <c r="AB177" s="132">
        <v>120008.44665</v>
      </c>
      <c r="AC177" s="106">
        <f t="shared" si="70"/>
        <v>4680329</v>
      </c>
      <c r="AD177" s="108">
        <f t="shared" si="71"/>
        <v>4680329</v>
      </c>
      <c r="AE177" s="199"/>
      <c r="AF177" s="199"/>
    </row>
    <row r="178" spans="1:243" ht="15" x14ac:dyDescent="0.2">
      <c r="A178" s="91">
        <v>270402</v>
      </c>
      <c r="B178" s="101" t="s">
        <v>678</v>
      </c>
      <c r="C178" s="102" t="s">
        <v>548</v>
      </c>
      <c r="D178" s="103" t="s">
        <v>5</v>
      </c>
      <c r="E178" s="104"/>
      <c r="F178" s="48">
        <v>114471</v>
      </c>
      <c r="G178" s="48">
        <f t="shared" si="69"/>
        <v>0</v>
      </c>
      <c r="H178" s="95"/>
      <c r="I178" s="95"/>
      <c r="J178" s="96"/>
      <c r="K178" s="96"/>
      <c r="L178" s="91"/>
      <c r="M178" s="91"/>
      <c r="N178" s="91"/>
      <c r="O178" s="91"/>
      <c r="P178" s="91"/>
      <c r="Q178" s="91"/>
      <c r="R178" s="97">
        <f t="shared" si="53"/>
        <v>0</v>
      </c>
      <c r="S178" s="98">
        <v>1887382.35</v>
      </c>
      <c r="T178" s="97"/>
      <c r="U178" s="100">
        <f t="shared" si="54"/>
        <v>0</v>
      </c>
      <c r="V178" s="107">
        <f t="shared" si="55"/>
        <v>0</v>
      </c>
      <c r="W178" s="91"/>
      <c r="X178" s="48"/>
      <c r="Y178" s="48"/>
      <c r="Z178" s="48"/>
      <c r="AA178" s="134">
        <v>13</v>
      </c>
      <c r="AB178" s="132">
        <v>122031.80955000001</v>
      </c>
      <c r="AC178" s="106">
        <f t="shared" si="70"/>
        <v>1586414</v>
      </c>
      <c r="AD178" s="108">
        <f t="shared" si="71"/>
        <v>1586414</v>
      </c>
      <c r="AE178" s="199"/>
      <c r="AF178" s="199"/>
    </row>
    <row r="179" spans="1:243" ht="15" x14ac:dyDescent="0.2">
      <c r="A179" s="91">
        <v>270106</v>
      </c>
      <c r="B179" s="101" t="s">
        <v>679</v>
      </c>
      <c r="C179" s="102" t="s">
        <v>549</v>
      </c>
      <c r="D179" s="103" t="s">
        <v>5</v>
      </c>
      <c r="E179" s="104"/>
      <c r="F179" s="48">
        <v>157467</v>
      </c>
      <c r="G179" s="48">
        <f t="shared" si="69"/>
        <v>0</v>
      </c>
      <c r="H179" s="95"/>
      <c r="I179" s="95"/>
      <c r="J179" s="96"/>
      <c r="K179" s="96"/>
      <c r="L179" s="91"/>
      <c r="M179" s="91"/>
      <c r="N179" s="91"/>
      <c r="O179" s="91"/>
      <c r="P179" s="91"/>
      <c r="Q179" s="91"/>
      <c r="R179" s="97">
        <f t="shared" si="53"/>
        <v>0</v>
      </c>
      <c r="S179" s="98">
        <v>390453.75</v>
      </c>
      <c r="T179" s="97"/>
      <c r="U179" s="100">
        <f t="shared" si="54"/>
        <v>0</v>
      </c>
      <c r="V179" s="107">
        <f t="shared" si="55"/>
        <v>0</v>
      </c>
      <c r="W179" s="91"/>
      <c r="X179" s="48"/>
      <c r="Y179" s="48"/>
      <c r="Z179" s="48"/>
      <c r="AA179" s="134">
        <v>2</v>
      </c>
      <c r="AB179" s="132">
        <v>167867.69534999999</v>
      </c>
      <c r="AC179" s="106">
        <f t="shared" si="70"/>
        <v>335735</v>
      </c>
      <c r="AD179" s="108">
        <f t="shared" si="71"/>
        <v>335735</v>
      </c>
      <c r="AE179" s="199"/>
      <c r="AF179" s="199"/>
    </row>
    <row r="180" spans="1:243" ht="15" x14ac:dyDescent="0.2">
      <c r="A180" s="91">
        <v>210409</v>
      </c>
      <c r="B180" s="101" t="s">
        <v>680</v>
      </c>
      <c r="C180" s="102" t="s">
        <v>149</v>
      </c>
      <c r="D180" s="103" t="s">
        <v>11</v>
      </c>
      <c r="E180" s="104"/>
      <c r="F180" s="48">
        <v>739201</v>
      </c>
      <c r="G180" s="48">
        <f t="shared" si="69"/>
        <v>0</v>
      </c>
      <c r="H180" s="95"/>
      <c r="I180" s="95"/>
      <c r="J180" s="96"/>
      <c r="K180" s="96"/>
      <c r="L180" s="91"/>
      <c r="M180" s="91"/>
      <c r="N180" s="91"/>
      <c r="O180" s="91"/>
      <c r="P180" s="91"/>
      <c r="Q180" s="91"/>
      <c r="R180" s="97">
        <f t="shared" si="53"/>
        <v>0</v>
      </c>
      <c r="S180" s="98">
        <v>6869462.8499999996</v>
      </c>
      <c r="T180" s="97"/>
      <c r="U180" s="100">
        <f t="shared" si="54"/>
        <v>0</v>
      </c>
      <c r="V180" s="107">
        <f t="shared" si="55"/>
        <v>0</v>
      </c>
      <c r="W180" s="91"/>
      <c r="X180" s="48"/>
      <c r="Y180" s="48"/>
      <c r="Z180" s="48"/>
      <c r="AA180" s="134">
        <v>8.35</v>
      </c>
      <c r="AB180" s="132">
        <v>788025.22605000006</v>
      </c>
      <c r="AC180" s="106">
        <f t="shared" si="70"/>
        <v>6580011</v>
      </c>
      <c r="AD180" s="108">
        <f t="shared" si="71"/>
        <v>6580011</v>
      </c>
      <c r="AE180" s="199"/>
      <c r="AF180" s="199"/>
    </row>
    <row r="181" spans="1:243" ht="15" x14ac:dyDescent="0.2">
      <c r="A181" s="91"/>
      <c r="B181" s="101" t="s">
        <v>681</v>
      </c>
      <c r="C181" s="102" t="s">
        <v>632</v>
      </c>
      <c r="D181" s="103" t="s">
        <v>8</v>
      </c>
      <c r="E181" s="104"/>
      <c r="F181" s="48">
        <v>377104</v>
      </c>
      <c r="G181" s="48">
        <f t="shared" si="69"/>
        <v>0</v>
      </c>
      <c r="H181" s="95"/>
      <c r="I181" s="95"/>
      <c r="J181" s="96"/>
      <c r="K181" s="96"/>
      <c r="L181" s="91"/>
      <c r="M181" s="91"/>
      <c r="N181" s="91"/>
      <c r="O181" s="91"/>
      <c r="P181" s="91"/>
      <c r="Q181" s="91"/>
      <c r="R181" s="97">
        <f t="shared" si="53"/>
        <v>0</v>
      </c>
      <c r="S181" s="98">
        <v>65853379.349999994</v>
      </c>
      <c r="T181" s="97"/>
      <c r="U181" s="100">
        <f t="shared" si="54"/>
        <v>0</v>
      </c>
      <c r="V181" s="107">
        <f t="shared" si="55"/>
        <v>0</v>
      </c>
      <c r="W181" s="91"/>
      <c r="X181" s="48"/>
      <c r="Y181" s="48"/>
      <c r="Z181" s="48"/>
      <c r="AA181" s="134">
        <v>114.35199999999998</v>
      </c>
      <c r="AB181" s="132">
        <v>402011.71919999999</v>
      </c>
      <c r="AC181" s="106">
        <f t="shared" si="70"/>
        <v>45970844</v>
      </c>
      <c r="AD181" s="108">
        <f t="shared" si="71"/>
        <v>45970844</v>
      </c>
      <c r="AE181" s="199"/>
      <c r="AF181" s="199"/>
    </row>
    <row r="182" spans="1:243" x14ac:dyDescent="0.2">
      <c r="A182" s="91"/>
      <c r="B182" s="101"/>
      <c r="C182" s="102"/>
      <c r="D182" s="103"/>
      <c r="E182" s="104"/>
      <c r="F182" s="48"/>
      <c r="G182" s="48"/>
      <c r="H182" s="95"/>
      <c r="I182" s="95"/>
      <c r="J182" s="96"/>
      <c r="K182" s="96"/>
      <c r="L182" s="91"/>
      <c r="M182" s="91"/>
      <c r="N182" s="91"/>
      <c r="O182" s="91"/>
      <c r="P182" s="91"/>
      <c r="Q182" s="91"/>
      <c r="R182" s="97"/>
      <c r="S182" s="98"/>
      <c r="T182" s="97"/>
      <c r="U182" s="100">
        <f t="shared" si="54"/>
        <v>0</v>
      </c>
      <c r="V182" s="107">
        <f t="shared" si="55"/>
        <v>0</v>
      </c>
      <c r="W182" s="91"/>
      <c r="X182" s="48"/>
      <c r="Y182" s="48"/>
      <c r="Z182" s="48"/>
      <c r="AA182" s="48"/>
      <c r="AB182" s="48"/>
      <c r="AC182" s="48"/>
      <c r="AD182" s="48"/>
    </row>
    <row r="183" spans="1:243" x14ac:dyDescent="0.2">
      <c r="A183" s="91"/>
      <c r="B183" s="103"/>
      <c r="C183" s="207" t="s">
        <v>820</v>
      </c>
      <c r="D183" s="207"/>
      <c r="E183" s="207"/>
      <c r="F183" s="208"/>
      <c r="G183" s="123">
        <f>SUM(G171:G182)/2</f>
        <v>0</v>
      </c>
      <c r="H183" s="95"/>
      <c r="I183" s="95"/>
      <c r="J183" s="96"/>
      <c r="K183" s="96"/>
      <c r="L183" s="91"/>
      <c r="M183" s="91"/>
      <c r="N183" s="91"/>
      <c r="O183" s="91"/>
      <c r="P183" s="91"/>
      <c r="Q183" s="91"/>
      <c r="R183" s="121">
        <f t="shared" ref="R183" si="72">(G183*0.3)+G183+(G183*0.05)</f>
        <v>0</v>
      </c>
      <c r="S183" s="98">
        <v>480798666</v>
      </c>
      <c r="T183" s="97"/>
      <c r="U183" s="100">
        <f t="shared" si="54"/>
        <v>0</v>
      </c>
      <c r="V183" s="107">
        <f t="shared" si="55"/>
        <v>0</v>
      </c>
      <c r="W183" s="91"/>
      <c r="X183" s="123"/>
      <c r="Y183" s="123"/>
      <c r="Z183" s="123"/>
      <c r="AA183" s="123"/>
      <c r="AB183" s="123"/>
      <c r="AC183" s="123">
        <f>SUM(AC171:AC182)/2</f>
        <v>116009850</v>
      </c>
      <c r="AD183" s="123">
        <f>SUM(AD171:AD182)/2</f>
        <v>116009850</v>
      </c>
    </row>
    <row r="184" spans="1:243" x14ac:dyDescent="0.2">
      <c r="A184" s="91"/>
      <c r="B184" s="101"/>
      <c r="C184" s="102"/>
      <c r="D184" s="103"/>
      <c r="E184" s="122"/>
      <c r="F184" s="48"/>
      <c r="G184" s="106"/>
      <c r="H184" s="95"/>
      <c r="I184" s="95"/>
      <c r="J184" s="96"/>
      <c r="K184" s="96"/>
      <c r="L184" s="91"/>
      <c r="M184" s="91"/>
      <c r="N184" s="91"/>
      <c r="O184" s="91"/>
      <c r="P184" s="91"/>
      <c r="Q184" s="91"/>
      <c r="R184" s="97">
        <f t="shared" si="53"/>
        <v>0</v>
      </c>
      <c r="S184" s="98">
        <v>0</v>
      </c>
      <c r="T184" s="97"/>
      <c r="U184" s="100">
        <f t="shared" si="54"/>
        <v>0</v>
      </c>
      <c r="V184" s="107">
        <f t="shared" si="55"/>
        <v>0</v>
      </c>
      <c r="W184" s="91"/>
      <c r="X184" s="91"/>
      <c r="Y184" s="91"/>
      <c r="Z184" s="91"/>
      <c r="AA184" s="91"/>
      <c r="AB184" s="91"/>
      <c r="AC184" s="129"/>
      <c r="AD184" s="129"/>
    </row>
    <row r="185" spans="1:243" ht="30" customHeight="1" x14ac:dyDescent="0.2">
      <c r="A185" s="91"/>
      <c r="B185" s="86">
        <v>13</v>
      </c>
      <c r="C185" s="209" t="s">
        <v>818</v>
      </c>
      <c r="D185" s="209"/>
      <c r="E185" s="209"/>
      <c r="F185" s="210"/>
      <c r="G185" s="124"/>
      <c r="H185" s="95"/>
      <c r="I185" s="95"/>
      <c r="J185" s="96"/>
      <c r="K185" s="96"/>
      <c r="L185" s="91"/>
      <c r="M185" s="91"/>
      <c r="N185" s="91"/>
      <c r="O185" s="91"/>
      <c r="P185" s="91"/>
      <c r="Q185" s="91"/>
      <c r="R185" s="97">
        <f t="shared" ref="R185" si="73">(G185*0.3)+G185+(G185*0.05)</f>
        <v>0</v>
      </c>
      <c r="S185" s="98">
        <v>0</v>
      </c>
      <c r="T185" s="97"/>
      <c r="U185" s="100">
        <f t="shared" si="54"/>
        <v>0</v>
      </c>
      <c r="V185" s="107">
        <f t="shared" si="55"/>
        <v>0</v>
      </c>
      <c r="W185" s="91"/>
      <c r="X185" s="124"/>
      <c r="Y185" s="124"/>
      <c r="Z185" s="124"/>
      <c r="AA185" s="124"/>
      <c r="AB185" s="124"/>
      <c r="AC185" s="124"/>
      <c r="AD185" s="124"/>
    </row>
    <row r="186" spans="1:243" ht="18" customHeight="1" x14ac:dyDescent="0.2">
      <c r="A186" s="91"/>
      <c r="B186" s="111" t="s">
        <v>682</v>
      </c>
      <c r="C186" s="93" t="s">
        <v>78</v>
      </c>
      <c r="D186" s="125"/>
      <c r="E186" s="140"/>
      <c r="F186" s="126"/>
      <c r="G186" s="113">
        <f>SUM(G187:G200)</f>
        <v>0</v>
      </c>
      <c r="H186" s="95"/>
      <c r="I186" s="95"/>
      <c r="J186" s="96"/>
      <c r="K186" s="96"/>
      <c r="L186" s="91"/>
      <c r="M186" s="91"/>
      <c r="N186" s="91"/>
      <c r="O186" s="91"/>
      <c r="P186" s="91"/>
      <c r="Q186" s="91"/>
      <c r="R186" s="142">
        <f t="shared" si="53"/>
        <v>0</v>
      </c>
      <c r="S186" s="98">
        <v>438236707.04999995</v>
      </c>
      <c r="T186" s="97"/>
      <c r="U186" s="100">
        <f t="shared" si="54"/>
        <v>0</v>
      </c>
      <c r="V186" s="107"/>
      <c r="W186" s="91"/>
      <c r="X186" s="113"/>
      <c r="Y186" s="113"/>
      <c r="Z186" s="113">
        <f>SUM(Z187:Z200)</f>
        <v>0</v>
      </c>
      <c r="AA186" s="113"/>
      <c r="AB186" s="113"/>
      <c r="AC186" s="113">
        <f>SUM(AC187:AC200)</f>
        <v>313851589</v>
      </c>
      <c r="AD186" s="94">
        <f>G186+Z186+AC186</f>
        <v>313851589</v>
      </c>
    </row>
    <row r="187" spans="1:243" ht="15" x14ac:dyDescent="0.2">
      <c r="A187" s="91">
        <v>221237</v>
      </c>
      <c r="B187" s="101" t="s">
        <v>683</v>
      </c>
      <c r="C187" s="102" t="s">
        <v>542</v>
      </c>
      <c r="D187" s="103" t="s">
        <v>8</v>
      </c>
      <c r="E187" s="104"/>
      <c r="F187" s="48">
        <v>686878</v>
      </c>
      <c r="G187" s="48">
        <f t="shared" si="69"/>
        <v>0</v>
      </c>
      <c r="H187" s="95"/>
      <c r="I187" s="95"/>
      <c r="J187" s="96"/>
      <c r="K187" s="96"/>
      <c r="L187" s="91"/>
      <c r="M187" s="91"/>
      <c r="N187" s="91"/>
      <c r="O187" s="91"/>
      <c r="P187" s="91"/>
      <c r="Q187" s="91"/>
      <c r="R187" s="97">
        <f t="shared" si="53"/>
        <v>0</v>
      </c>
      <c r="S187" s="98">
        <v>5779146.1500000004</v>
      </c>
      <c r="T187" s="97"/>
      <c r="U187" s="100">
        <f t="shared" si="54"/>
        <v>0</v>
      </c>
      <c r="V187" s="107">
        <f t="shared" si="55"/>
        <v>0</v>
      </c>
      <c r="W187" s="91"/>
      <c r="X187" s="48"/>
      <c r="Y187" s="132"/>
      <c r="Z187" s="106"/>
      <c r="AA187" s="134">
        <v>7.1399999999999988</v>
      </c>
      <c r="AB187" s="144">
        <v>732246.29189999995</v>
      </c>
      <c r="AC187" s="106">
        <f t="shared" ref="AC187:AC200" si="74">ROUND(AA187*AB187,0)</f>
        <v>5228239</v>
      </c>
      <c r="AD187" s="108">
        <f t="shared" ref="AD187:AD199" si="75">G187+Z187+AC187</f>
        <v>5228239</v>
      </c>
      <c r="AE187" s="199"/>
      <c r="AF187" s="199"/>
    </row>
    <row r="188" spans="1:243" ht="15" x14ac:dyDescent="0.2">
      <c r="A188" s="91">
        <v>221015</v>
      </c>
      <c r="B188" s="101" t="s">
        <v>684</v>
      </c>
      <c r="C188" s="102" t="s">
        <v>837</v>
      </c>
      <c r="D188" s="103" t="s">
        <v>8</v>
      </c>
      <c r="E188" s="104"/>
      <c r="F188" s="48">
        <v>302190</v>
      </c>
      <c r="G188" s="48">
        <f t="shared" si="69"/>
        <v>0</v>
      </c>
      <c r="H188" s="95"/>
      <c r="I188" s="95"/>
      <c r="J188" s="96"/>
      <c r="K188" s="96"/>
      <c r="L188" s="91"/>
      <c r="M188" s="91"/>
      <c r="N188" s="91"/>
      <c r="O188" s="91"/>
      <c r="P188" s="91"/>
      <c r="Q188" s="91"/>
      <c r="R188" s="97">
        <f t="shared" si="53"/>
        <v>0</v>
      </c>
      <c r="S188" s="98">
        <v>19445205.600000001</v>
      </c>
      <c r="T188" s="97"/>
      <c r="U188" s="100">
        <f t="shared" si="54"/>
        <v>0</v>
      </c>
      <c r="V188" s="107">
        <f t="shared" si="55"/>
        <v>0</v>
      </c>
      <c r="W188" s="91"/>
      <c r="X188" s="48"/>
      <c r="Y188" s="132"/>
      <c r="Z188" s="106"/>
      <c r="AA188" s="134">
        <v>55.852499999999999</v>
      </c>
      <c r="AB188" s="144">
        <v>322149.6495</v>
      </c>
      <c r="AC188" s="106">
        <f t="shared" si="74"/>
        <v>17992863</v>
      </c>
      <c r="AD188" s="108">
        <f t="shared" si="75"/>
        <v>17992863</v>
      </c>
      <c r="AE188" s="199"/>
      <c r="AF188" s="199"/>
    </row>
    <row r="189" spans="1:243" ht="15" x14ac:dyDescent="0.2">
      <c r="A189" s="91">
        <v>221303</v>
      </c>
      <c r="B189" s="101" t="s">
        <v>685</v>
      </c>
      <c r="C189" s="102" t="s">
        <v>79</v>
      </c>
      <c r="D189" s="103" t="s">
        <v>5</v>
      </c>
      <c r="E189" s="104"/>
      <c r="F189" s="48">
        <v>285421</v>
      </c>
      <c r="G189" s="106">
        <f t="shared" si="69"/>
        <v>0</v>
      </c>
      <c r="H189" s="95"/>
      <c r="I189" s="95"/>
      <c r="J189" s="96"/>
      <c r="K189" s="96"/>
      <c r="L189" s="91"/>
      <c r="M189" s="91"/>
      <c r="N189" s="91"/>
      <c r="O189" s="91"/>
      <c r="P189" s="91"/>
      <c r="Q189" s="91"/>
      <c r="R189" s="97">
        <f t="shared" si="53"/>
        <v>0</v>
      </c>
      <c r="S189" s="98">
        <v>16884205.649999999</v>
      </c>
      <c r="T189" s="97"/>
      <c r="U189" s="100">
        <f t="shared" si="54"/>
        <v>0</v>
      </c>
      <c r="V189" s="107">
        <f t="shared" si="55"/>
        <v>0</v>
      </c>
      <c r="W189" s="91"/>
      <c r="X189" s="106"/>
      <c r="Y189" s="132"/>
      <c r="Z189" s="106"/>
      <c r="AA189" s="132">
        <v>52</v>
      </c>
      <c r="AB189" s="144">
        <v>304273.05705</v>
      </c>
      <c r="AC189" s="106">
        <f t="shared" si="74"/>
        <v>15822199</v>
      </c>
      <c r="AD189" s="108">
        <f t="shared" si="75"/>
        <v>15822199</v>
      </c>
      <c r="AE189" s="199"/>
      <c r="AF189" s="199"/>
    </row>
    <row r="190" spans="1:243" ht="15" x14ac:dyDescent="0.2">
      <c r="A190" s="91">
        <v>221312</v>
      </c>
      <c r="B190" s="101" t="s">
        <v>686</v>
      </c>
      <c r="C190" s="102" t="s">
        <v>541</v>
      </c>
      <c r="D190" s="103" t="s">
        <v>5</v>
      </c>
      <c r="E190" s="104"/>
      <c r="F190" s="48">
        <v>399012</v>
      </c>
      <c r="G190" s="106">
        <f t="shared" si="69"/>
        <v>0</v>
      </c>
      <c r="H190" s="95"/>
      <c r="I190" s="95"/>
      <c r="J190" s="96"/>
      <c r="K190" s="96"/>
      <c r="L190" s="91"/>
      <c r="M190" s="91"/>
      <c r="N190" s="91"/>
      <c r="O190" s="91"/>
      <c r="P190" s="91"/>
      <c r="Q190" s="91"/>
      <c r="R190" s="97">
        <f t="shared" si="53"/>
        <v>0</v>
      </c>
      <c r="S190" s="98">
        <v>497047.05000000005</v>
      </c>
      <c r="T190" s="97"/>
      <c r="U190" s="100">
        <f t="shared" si="54"/>
        <v>0</v>
      </c>
      <c r="V190" s="107">
        <f t="shared" si="55"/>
        <v>0</v>
      </c>
      <c r="W190" s="91"/>
      <c r="X190" s="106"/>
      <c r="Y190" s="132"/>
      <c r="Z190" s="106"/>
      <c r="AA190" s="132">
        <v>1</v>
      </c>
      <c r="AB190" s="144">
        <v>425366.7426</v>
      </c>
      <c r="AC190" s="106">
        <f t="shared" si="74"/>
        <v>425367</v>
      </c>
      <c r="AD190" s="108">
        <f t="shared" si="75"/>
        <v>425367</v>
      </c>
      <c r="AE190" s="199"/>
      <c r="AF190" s="199"/>
    </row>
    <row r="191" spans="1:243" s="41" customFormat="1" ht="30" x14ac:dyDescent="0.2">
      <c r="A191" s="91"/>
      <c r="B191" s="101" t="s">
        <v>687</v>
      </c>
      <c r="C191" s="102" t="s">
        <v>136</v>
      </c>
      <c r="D191" s="103" t="s">
        <v>8</v>
      </c>
      <c r="E191" s="104"/>
      <c r="F191" s="48">
        <v>1245500</v>
      </c>
      <c r="G191" s="48">
        <f>ROUND(E191*F191,0)</f>
        <v>0</v>
      </c>
      <c r="H191" s="117"/>
      <c r="I191" s="117"/>
      <c r="J191" s="118"/>
      <c r="K191" s="118"/>
      <c r="L191" s="119"/>
      <c r="M191" s="119"/>
      <c r="N191" s="119"/>
      <c r="O191" s="119"/>
      <c r="P191" s="119"/>
      <c r="Q191" s="119"/>
      <c r="R191" s="97">
        <f t="shared" si="53"/>
        <v>0</v>
      </c>
      <c r="S191" s="120">
        <v>261105450.75</v>
      </c>
      <c r="T191" s="121"/>
      <c r="U191" s="100">
        <f t="shared" si="54"/>
        <v>0</v>
      </c>
      <c r="V191" s="107">
        <f t="shared" si="55"/>
        <v>0</v>
      </c>
      <c r="W191" s="119"/>
      <c r="X191" s="48"/>
      <c r="Y191" s="132"/>
      <c r="Z191" s="106"/>
      <c r="AA191" s="134">
        <v>113.986</v>
      </c>
      <c r="AB191" s="144">
        <v>1327765.2749999999</v>
      </c>
      <c r="AC191" s="106">
        <f t="shared" si="74"/>
        <v>151346653</v>
      </c>
      <c r="AD191" s="108">
        <f t="shared" si="75"/>
        <v>151346653</v>
      </c>
      <c r="AE191" s="199"/>
      <c r="AF191" s="199"/>
      <c r="AG191" s="197"/>
      <c r="AH191" s="197"/>
      <c r="AI191" s="197"/>
      <c r="AJ191" s="197"/>
      <c r="AK191" s="197"/>
      <c r="AL191" s="197"/>
      <c r="AM191" s="197"/>
      <c r="AN191" s="197"/>
      <c r="AO191" s="197"/>
      <c r="AP191" s="197"/>
      <c r="AQ191" s="197"/>
      <c r="AR191" s="197"/>
      <c r="AS191" s="197"/>
      <c r="AT191" s="197"/>
      <c r="AU191" s="197"/>
      <c r="AV191" s="197"/>
      <c r="AW191" s="197"/>
      <c r="AX191" s="197"/>
      <c r="AY191" s="197"/>
      <c r="AZ191" s="197"/>
      <c r="BA191" s="197"/>
      <c r="BB191" s="197"/>
      <c r="BC191" s="197"/>
      <c r="BD191" s="197"/>
      <c r="BE191" s="197"/>
      <c r="BF191" s="197"/>
      <c r="BG191" s="197"/>
      <c r="BH191" s="197"/>
      <c r="BI191" s="197"/>
      <c r="BJ191" s="197"/>
      <c r="BK191" s="197"/>
      <c r="BL191" s="197"/>
      <c r="BM191" s="197"/>
      <c r="BN191" s="197"/>
      <c r="BO191" s="197"/>
      <c r="BP191" s="197"/>
      <c r="BQ191" s="197"/>
      <c r="BR191" s="197"/>
      <c r="BS191" s="197"/>
      <c r="BT191" s="197"/>
      <c r="BU191" s="197"/>
      <c r="BV191" s="197"/>
      <c r="BW191" s="197"/>
      <c r="BX191" s="197"/>
      <c r="BY191" s="197"/>
      <c r="BZ191" s="197"/>
      <c r="CA191" s="197"/>
      <c r="CB191" s="197"/>
      <c r="CC191" s="197"/>
      <c r="CD191" s="197"/>
      <c r="CE191" s="197"/>
      <c r="CF191" s="197"/>
      <c r="CG191" s="197"/>
      <c r="CH191" s="197"/>
      <c r="CI191" s="197"/>
      <c r="CJ191" s="197"/>
      <c r="CK191" s="197"/>
      <c r="CL191" s="197"/>
      <c r="CM191" s="197"/>
      <c r="CN191" s="197"/>
      <c r="CO191" s="197"/>
      <c r="CP191" s="197"/>
      <c r="CQ191" s="197"/>
      <c r="CR191" s="197"/>
      <c r="CS191" s="197"/>
      <c r="CT191" s="197"/>
      <c r="CU191" s="197"/>
      <c r="CV191" s="197"/>
      <c r="CW191" s="197"/>
      <c r="CX191" s="197"/>
      <c r="CY191" s="197"/>
      <c r="CZ191" s="197"/>
      <c r="DA191" s="197"/>
      <c r="DB191" s="197"/>
      <c r="DC191" s="197"/>
      <c r="DD191" s="197"/>
      <c r="DE191" s="197"/>
      <c r="DF191" s="197"/>
      <c r="DG191" s="197"/>
      <c r="DH191" s="197"/>
      <c r="DI191" s="197"/>
      <c r="DJ191" s="197"/>
      <c r="DK191" s="197"/>
      <c r="DL191" s="197"/>
      <c r="DM191" s="197"/>
      <c r="DN191" s="197"/>
      <c r="DO191" s="197"/>
      <c r="DP191" s="197"/>
      <c r="DQ191" s="197"/>
      <c r="DR191" s="197"/>
      <c r="DS191" s="197"/>
      <c r="DT191" s="197"/>
      <c r="DU191" s="197"/>
      <c r="DV191" s="197"/>
      <c r="DW191" s="197"/>
      <c r="DX191" s="197"/>
      <c r="DY191" s="197"/>
      <c r="DZ191" s="197"/>
      <c r="EA191" s="197"/>
      <c r="EB191" s="197"/>
      <c r="EC191" s="197"/>
      <c r="ED191" s="197"/>
      <c r="EE191" s="197"/>
      <c r="EF191" s="197"/>
      <c r="EG191" s="197"/>
      <c r="EH191" s="197"/>
      <c r="EI191" s="197"/>
      <c r="EJ191" s="197"/>
      <c r="EK191" s="197"/>
      <c r="EL191" s="197"/>
      <c r="EM191" s="197"/>
      <c r="EN191" s="197"/>
      <c r="EO191" s="197"/>
      <c r="EP191" s="197"/>
      <c r="EQ191" s="197"/>
      <c r="ER191" s="197"/>
      <c r="ES191" s="197"/>
      <c r="ET191" s="197"/>
      <c r="EU191" s="197"/>
      <c r="EV191" s="197"/>
      <c r="EW191" s="197"/>
      <c r="EX191" s="197"/>
      <c r="EY191" s="197"/>
      <c r="EZ191" s="197"/>
      <c r="FA191" s="197"/>
      <c r="FB191" s="197"/>
      <c r="FC191" s="197"/>
      <c r="FD191" s="197"/>
      <c r="FE191" s="197"/>
      <c r="FF191" s="197"/>
      <c r="FG191" s="197"/>
      <c r="FH191" s="197"/>
      <c r="FI191" s="197"/>
      <c r="FJ191" s="197"/>
      <c r="FK191" s="197"/>
      <c r="FL191" s="197"/>
      <c r="FM191" s="197"/>
      <c r="FN191" s="197"/>
      <c r="FO191" s="197"/>
      <c r="FP191" s="197"/>
      <c r="FQ191" s="197"/>
      <c r="FR191" s="197"/>
      <c r="FS191" s="197"/>
      <c r="FT191" s="197"/>
      <c r="FU191" s="197"/>
      <c r="FV191" s="197"/>
      <c r="FW191" s="197"/>
      <c r="FX191" s="197"/>
      <c r="FY191" s="197"/>
      <c r="FZ191" s="197"/>
      <c r="GA191" s="197"/>
      <c r="GB191" s="197"/>
      <c r="GC191" s="197"/>
      <c r="GD191" s="197"/>
      <c r="GE191" s="197"/>
      <c r="GF191" s="197"/>
      <c r="GG191" s="197"/>
      <c r="GH191" s="197"/>
      <c r="GI191" s="197"/>
      <c r="GJ191" s="197"/>
      <c r="GK191" s="197"/>
      <c r="GL191" s="197"/>
      <c r="GM191" s="197"/>
      <c r="GN191" s="197"/>
      <c r="GO191" s="197"/>
      <c r="GP191" s="197"/>
      <c r="GQ191" s="197"/>
      <c r="GR191" s="197"/>
      <c r="GS191" s="197"/>
      <c r="GT191" s="197"/>
      <c r="GU191" s="197"/>
      <c r="GV191" s="197"/>
      <c r="GW191" s="197"/>
      <c r="GX191" s="197"/>
      <c r="GY191" s="197"/>
      <c r="GZ191" s="197"/>
      <c r="HA191" s="197"/>
      <c r="HB191" s="197"/>
      <c r="HC191" s="197"/>
      <c r="HD191" s="197"/>
      <c r="HE191" s="197"/>
      <c r="HF191" s="197"/>
      <c r="HG191" s="197"/>
      <c r="HH191" s="197"/>
      <c r="HI191" s="197"/>
      <c r="HJ191" s="197"/>
      <c r="HK191" s="197"/>
      <c r="HL191" s="197"/>
      <c r="HM191" s="197"/>
      <c r="HN191" s="197"/>
      <c r="HO191" s="197"/>
      <c r="HP191" s="197"/>
      <c r="HQ191" s="197"/>
      <c r="HR191" s="197"/>
      <c r="HS191" s="197"/>
      <c r="HT191" s="197"/>
      <c r="HU191" s="197"/>
      <c r="HV191" s="197"/>
      <c r="HW191" s="197"/>
      <c r="HX191" s="197"/>
      <c r="HY191" s="197"/>
      <c r="HZ191" s="197"/>
      <c r="IA191" s="197"/>
      <c r="IB191" s="197"/>
      <c r="IC191" s="197"/>
      <c r="ID191" s="197"/>
      <c r="IE191" s="197"/>
      <c r="IF191" s="197"/>
      <c r="IG191" s="197"/>
      <c r="IH191" s="197"/>
      <c r="II191" s="197"/>
    </row>
    <row r="192" spans="1:243" ht="15" x14ac:dyDescent="0.2">
      <c r="A192" s="91">
        <v>260402</v>
      </c>
      <c r="B192" s="101" t="s">
        <v>688</v>
      </c>
      <c r="C192" s="102" t="s">
        <v>139</v>
      </c>
      <c r="D192" s="103" t="s">
        <v>8</v>
      </c>
      <c r="E192" s="104"/>
      <c r="F192" s="48">
        <v>130474</v>
      </c>
      <c r="G192" s="48">
        <f>ROUND(E192*F192,0)</f>
        <v>0</v>
      </c>
      <c r="H192" s="95"/>
      <c r="I192" s="95"/>
      <c r="J192" s="96"/>
      <c r="K192" s="96"/>
      <c r="L192" s="91"/>
      <c r="M192" s="91"/>
      <c r="N192" s="91"/>
      <c r="O192" s="91"/>
      <c r="P192" s="91"/>
      <c r="Q192" s="91"/>
      <c r="R192" s="97">
        <f t="shared" si="53"/>
        <v>0</v>
      </c>
      <c r="S192" s="98">
        <v>17292143.25</v>
      </c>
      <c r="T192" s="97"/>
      <c r="U192" s="100">
        <f t="shared" si="54"/>
        <v>0</v>
      </c>
      <c r="V192" s="107">
        <f t="shared" si="55"/>
        <v>0</v>
      </c>
      <c r="W192" s="91"/>
      <c r="X192" s="48"/>
      <c r="Y192" s="132"/>
      <c r="Z192" s="106"/>
      <c r="AA192" s="134">
        <v>113.986</v>
      </c>
      <c r="AB192" s="144">
        <v>139091.8077</v>
      </c>
      <c r="AC192" s="106">
        <f t="shared" si="74"/>
        <v>15854519</v>
      </c>
      <c r="AD192" s="108">
        <f t="shared" si="75"/>
        <v>15854519</v>
      </c>
      <c r="AE192" s="199"/>
      <c r="AF192" s="199"/>
    </row>
    <row r="193" spans="1:243" s="41" customFormat="1" ht="45" x14ac:dyDescent="0.2">
      <c r="A193" s="91"/>
      <c r="B193" s="101" t="s">
        <v>689</v>
      </c>
      <c r="C193" s="102" t="s">
        <v>529</v>
      </c>
      <c r="D193" s="103" t="s">
        <v>5</v>
      </c>
      <c r="E193" s="104"/>
      <c r="F193" s="48">
        <v>3418600</v>
      </c>
      <c r="G193" s="48">
        <f t="shared" si="69"/>
        <v>0</v>
      </c>
      <c r="H193" s="117"/>
      <c r="I193" s="117"/>
      <c r="J193" s="118"/>
      <c r="K193" s="118"/>
      <c r="L193" s="119"/>
      <c r="M193" s="119"/>
      <c r="N193" s="119"/>
      <c r="O193" s="119"/>
      <c r="P193" s="119"/>
      <c r="Q193" s="119"/>
      <c r="R193" s="97">
        <f t="shared" si="53"/>
        <v>0</v>
      </c>
      <c r="S193" s="120">
        <v>31323674.700000003</v>
      </c>
      <c r="T193" s="121"/>
      <c r="U193" s="100">
        <f t="shared" si="54"/>
        <v>0</v>
      </c>
      <c r="V193" s="107">
        <f t="shared" si="55"/>
        <v>0</v>
      </c>
      <c r="W193" s="119"/>
      <c r="X193" s="48"/>
      <c r="Y193" s="132"/>
      <c r="Z193" s="106"/>
      <c r="AA193" s="134">
        <v>6</v>
      </c>
      <c r="AB193" s="144">
        <v>3644398.53</v>
      </c>
      <c r="AC193" s="106">
        <f t="shared" si="74"/>
        <v>21866391</v>
      </c>
      <c r="AD193" s="108">
        <f t="shared" si="75"/>
        <v>21866391</v>
      </c>
      <c r="AE193" s="199"/>
      <c r="AF193" s="199"/>
      <c r="AG193" s="197"/>
      <c r="AH193" s="197"/>
      <c r="AI193" s="197"/>
      <c r="AJ193" s="197"/>
      <c r="AK193" s="197"/>
      <c r="AL193" s="197"/>
      <c r="AM193" s="197"/>
      <c r="AN193" s="197"/>
      <c r="AO193" s="197"/>
      <c r="AP193" s="197"/>
      <c r="AQ193" s="197"/>
      <c r="AR193" s="197"/>
      <c r="AS193" s="197"/>
      <c r="AT193" s="197"/>
      <c r="AU193" s="197"/>
      <c r="AV193" s="197"/>
      <c r="AW193" s="197"/>
      <c r="AX193" s="197"/>
      <c r="AY193" s="197"/>
      <c r="AZ193" s="197"/>
      <c r="BA193" s="197"/>
      <c r="BB193" s="197"/>
      <c r="BC193" s="197"/>
      <c r="BD193" s="197"/>
      <c r="BE193" s="197"/>
      <c r="BF193" s="197"/>
      <c r="BG193" s="197"/>
      <c r="BH193" s="197"/>
      <c r="BI193" s="197"/>
      <c r="BJ193" s="197"/>
      <c r="BK193" s="197"/>
      <c r="BL193" s="197"/>
      <c r="BM193" s="197"/>
      <c r="BN193" s="197"/>
      <c r="BO193" s="197"/>
      <c r="BP193" s="197"/>
      <c r="BQ193" s="197"/>
      <c r="BR193" s="197"/>
      <c r="BS193" s="197"/>
      <c r="BT193" s="197"/>
      <c r="BU193" s="197"/>
      <c r="BV193" s="197"/>
      <c r="BW193" s="197"/>
      <c r="BX193" s="197"/>
      <c r="BY193" s="197"/>
      <c r="BZ193" s="197"/>
      <c r="CA193" s="197"/>
      <c r="CB193" s="197"/>
      <c r="CC193" s="197"/>
      <c r="CD193" s="197"/>
      <c r="CE193" s="197"/>
      <c r="CF193" s="197"/>
      <c r="CG193" s="197"/>
      <c r="CH193" s="197"/>
      <c r="CI193" s="197"/>
      <c r="CJ193" s="197"/>
      <c r="CK193" s="197"/>
      <c r="CL193" s="197"/>
      <c r="CM193" s="197"/>
      <c r="CN193" s="197"/>
      <c r="CO193" s="197"/>
      <c r="CP193" s="197"/>
      <c r="CQ193" s="197"/>
      <c r="CR193" s="197"/>
      <c r="CS193" s="197"/>
      <c r="CT193" s="197"/>
      <c r="CU193" s="197"/>
      <c r="CV193" s="197"/>
      <c r="CW193" s="197"/>
      <c r="CX193" s="197"/>
      <c r="CY193" s="197"/>
      <c r="CZ193" s="197"/>
      <c r="DA193" s="197"/>
      <c r="DB193" s="197"/>
      <c r="DC193" s="197"/>
      <c r="DD193" s="197"/>
      <c r="DE193" s="197"/>
      <c r="DF193" s="197"/>
      <c r="DG193" s="197"/>
      <c r="DH193" s="197"/>
      <c r="DI193" s="197"/>
      <c r="DJ193" s="197"/>
      <c r="DK193" s="197"/>
      <c r="DL193" s="197"/>
      <c r="DM193" s="197"/>
      <c r="DN193" s="197"/>
      <c r="DO193" s="197"/>
      <c r="DP193" s="197"/>
      <c r="DQ193" s="197"/>
      <c r="DR193" s="197"/>
      <c r="DS193" s="197"/>
      <c r="DT193" s="197"/>
      <c r="DU193" s="197"/>
      <c r="DV193" s="197"/>
      <c r="DW193" s="197"/>
      <c r="DX193" s="197"/>
      <c r="DY193" s="197"/>
      <c r="DZ193" s="197"/>
      <c r="EA193" s="197"/>
      <c r="EB193" s="197"/>
      <c r="EC193" s="197"/>
      <c r="ED193" s="197"/>
      <c r="EE193" s="197"/>
      <c r="EF193" s="197"/>
      <c r="EG193" s="197"/>
      <c r="EH193" s="197"/>
      <c r="EI193" s="197"/>
      <c r="EJ193" s="197"/>
      <c r="EK193" s="197"/>
      <c r="EL193" s="197"/>
      <c r="EM193" s="197"/>
      <c r="EN193" s="197"/>
      <c r="EO193" s="197"/>
      <c r="EP193" s="197"/>
      <c r="EQ193" s="197"/>
      <c r="ER193" s="197"/>
      <c r="ES193" s="197"/>
      <c r="ET193" s="197"/>
      <c r="EU193" s="197"/>
      <c r="EV193" s="197"/>
      <c r="EW193" s="197"/>
      <c r="EX193" s="197"/>
      <c r="EY193" s="197"/>
      <c r="EZ193" s="197"/>
      <c r="FA193" s="197"/>
      <c r="FB193" s="197"/>
      <c r="FC193" s="197"/>
      <c r="FD193" s="197"/>
      <c r="FE193" s="197"/>
      <c r="FF193" s="197"/>
      <c r="FG193" s="197"/>
      <c r="FH193" s="197"/>
      <c r="FI193" s="197"/>
      <c r="FJ193" s="197"/>
      <c r="FK193" s="197"/>
      <c r="FL193" s="197"/>
      <c r="FM193" s="197"/>
      <c r="FN193" s="197"/>
      <c r="FO193" s="197"/>
      <c r="FP193" s="197"/>
      <c r="FQ193" s="197"/>
      <c r="FR193" s="197"/>
      <c r="FS193" s="197"/>
      <c r="FT193" s="197"/>
      <c r="FU193" s="197"/>
      <c r="FV193" s="197"/>
      <c r="FW193" s="197"/>
      <c r="FX193" s="197"/>
      <c r="FY193" s="197"/>
      <c r="FZ193" s="197"/>
      <c r="GA193" s="197"/>
      <c r="GB193" s="197"/>
      <c r="GC193" s="197"/>
      <c r="GD193" s="197"/>
      <c r="GE193" s="197"/>
      <c r="GF193" s="197"/>
      <c r="GG193" s="197"/>
      <c r="GH193" s="197"/>
      <c r="GI193" s="197"/>
      <c r="GJ193" s="197"/>
      <c r="GK193" s="197"/>
      <c r="GL193" s="197"/>
      <c r="GM193" s="197"/>
      <c r="GN193" s="197"/>
      <c r="GO193" s="197"/>
      <c r="GP193" s="197"/>
      <c r="GQ193" s="197"/>
      <c r="GR193" s="197"/>
      <c r="GS193" s="197"/>
      <c r="GT193" s="197"/>
      <c r="GU193" s="197"/>
      <c r="GV193" s="197"/>
      <c r="GW193" s="197"/>
      <c r="GX193" s="197"/>
      <c r="GY193" s="197"/>
      <c r="GZ193" s="197"/>
      <c r="HA193" s="197"/>
      <c r="HB193" s="197"/>
      <c r="HC193" s="197"/>
      <c r="HD193" s="197"/>
      <c r="HE193" s="197"/>
      <c r="HF193" s="197"/>
      <c r="HG193" s="197"/>
      <c r="HH193" s="197"/>
      <c r="HI193" s="197"/>
      <c r="HJ193" s="197"/>
      <c r="HK193" s="197"/>
      <c r="HL193" s="197"/>
      <c r="HM193" s="197"/>
      <c r="HN193" s="197"/>
      <c r="HO193" s="197"/>
      <c r="HP193" s="197"/>
      <c r="HQ193" s="197"/>
      <c r="HR193" s="197"/>
      <c r="HS193" s="197"/>
      <c r="HT193" s="197"/>
      <c r="HU193" s="197"/>
      <c r="HV193" s="197"/>
      <c r="HW193" s="197"/>
      <c r="HX193" s="197"/>
      <c r="HY193" s="197"/>
      <c r="HZ193" s="197"/>
      <c r="IA193" s="197"/>
      <c r="IB193" s="197"/>
      <c r="IC193" s="197"/>
      <c r="ID193" s="197"/>
      <c r="IE193" s="197"/>
      <c r="IF193" s="197"/>
      <c r="IG193" s="197"/>
      <c r="IH193" s="197"/>
      <c r="II193" s="197"/>
    </row>
    <row r="194" spans="1:243" ht="15" customHeight="1" x14ac:dyDescent="0.2">
      <c r="A194" s="91">
        <v>221403</v>
      </c>
      <c r="B194" s="101" t="s">
        <v>690</v>
      </c>
      <c r="C194" s="102" t="s">
        <v>595</v>
      </c>
      <c r="D194" s="103" t="s">
        <v>11</v>
      </c>
      <c r="E194" s="104"/>
      <c r="F194" s="48">
        <v>419929</v>
      </c>
      <c r="G194" s="106">
        <f t="shared" si="69"/>
        <v>0</v>
      </c>
      <c r="H194" s="95"/>
      <c r="I194" s="95"/>
      <c r="J194" s="96"/>
      <c r="K194" s="96"/>
      <c r="L194" s="91"/>
      <c r="M194" s="91"/>
      <c r="N194" s="91"/>
      <c r="O194" s="91"/>
      <c r="P194" s="91"/>
      <c r="Q194" s="91"/>
      <c r="R194" s="97">
        <f t="shared" si="53"/>
        <v>0</v>
      </c>
      <c r="S194" s="98">
        <v>45197653.049999997</v>
      </c>
      <c r="T194" s="97"/>
      <c r="U194" s="100">
        <f t="shared" si="54"/>
        <v>0</v>
      </c>
      <c r="V194" s="107">
        <f t="shared" si="55"/>
        <v>0</v>
      </c>
      <c r="W194" s="91"/>
      <c r="X194" s="106"/>
      <c r="Y194" s="132"/>
      <c r="Z194" s="106"/>
      <c r="AA194" s="132">
        <v>87.589999999999989</v>
      </c>
      <c r="AB194" s="144">
        <v>447665.31044999999</v>
      </c>
      <c r="AC194" s="106">
        <f t="shared" si="74"/>
        <v>39211005</v>
      </c>
      <c r="AD194" s="108">
        <f t="shared" si="75"/>
        <v>39211005</v>
      </c>
      <c r="AE194" s="199"/>
      <c r="AF194" s="199"/>
    </row>
    <row r="195" spans="1:243" ht="15" x14ac:dyDescent="0.2">
      <c r="A195" s="91">
        <v>240601</v>
      </c>
      <c r="B195" s="101" t="s">
        <v>691</v>
      </c>
      <c r="C195" s="102" t="s">
        <v>111</v>
      </c>
      <c r="D195" s="103" t="s">
        <v>11</v>
      </c>
      <c r="E195" s="104"/>
      <c r="F195" s="48">
        <v>216206</v>
      </c>
      <c r="G195" s="106">
        <f t="shared" si="69"/>
        <v>0</v>
      </c>
      <c r="H195" s="95"/>
      <c r="I195" s="95"/>
      <c r="J195" s="96"/>
      <c r="K195" s="96"/>
      <c r="L195" s="91"/>
      <c r="M195" s="91"/>
      <c r="N195" s="91"/>
      <c r="O195" s="91"/>
      <c r="P195" s="91"/>
      <c r="Q195" s="91"/>
      <c r="R195" s="97">
        <f t="shared" si="53"/>
        <v>0</v>
      </c>
      <c r="S195" s="98">
        <v>3302353.8</v>
      </c>
      <c r="T195" s="97"/>
      <c r="U195" s="100">
        <f t="shared" si="54"/>
        <v>0</v>
      </c>
      <c r="V195" s="107">
        <f t="shared" si="55"/>
        <v>0</v>
      </c>
      <c r="W195" s="91"/>
      <c r="X195" s="106"/>
      <c r="Y195" s="132"/>
      <c r="Z195" s="106"/>
      <c r="AA195" s="132">
        <v>15.600000000000001</v>
      </c>
      <c r="AB195" s="144">
        <v>230486.4063</v>
      </c>
      <c r="AC195" s="106">
        <f t="shared" si="74"/>
        <v>3595588</v>
      </c>
      <c r="AD195" s="108">
        <f t="shared" si="75"/>
        <v>3595588</v>
      </c>
      <c r="AE195" s="199"/>
      <c r="AF195" s="199"/>
    </row>
    <row r="196" spans="1:243" ht="15" x14ac:dyDescent="0.2">
      <c r="A196" s="91">
        <v>191001</v>
      </c>
      <c r="B196" s="101" t="s">
        <v>692</v>
      </c>
      <c r="C196" s="102" t="s">
        <v>137</v>
      </c>
      <c r="D196" s="103" t="s">
        <v>11</v>
      </c>
      <c r="E196" s="104"/>
      <c r="F196" s="48">
        <v>1222680</v>
      </c>
      <c r="G196" s="106">
        <f t="shared" si="69"/>
        <v>0</v>
      </c>
      <c r="H196" s="95"/>
      <c r="I196" s="95"/>
      <c r="J196" s="96"/>
      <c r="K196" s="96"/>
      <c r="L196" s="91"/>
      <c r="M196" s="91"/>
      <c r="N196" s="91"/>
      <c r="O196" s="91"/>
      <c r="P196" s="91"/>
      <c r="Q196" s="91"/>
      <c r="R196" s="97">
        <f t="shared" si="53"/>
        <v>0</v>
      </c>
      <c r="S196" s="98">
        <v>13482190.800000001</v>
      </c>
      <c r="T196" s="97"/>
      <c r="U196" s="100">
        <f t="shared" si="54"/>
        <v>0</v>
      </c>
      <c r="V196" s="107">
        <f t="shared" si="55"/>
        <v>0</v>
      </c>
      <c r="W196" s="91"/>
      <c r="X196" s="106"/>
      <c r="Y196" s="132"/>
      <c r="Z196" s="106"/>
      <c r="AA196" s="132">
        <v>15.600000000000001</v>
      </c>
      <c r="AB196" s="144">
        <v>1303438.014</v>
      </c>
      <c r="AC196" s="106">
        <f t="shared" si="74"/>
        <v>20333633</v>
      </c>
      <c r="AD196" s="108">
        <f t="shared" si="75"/>
        <v>20333633</v>
      </c>
      <c r="AE196" s="199"/>
      <c r="AF196" s="199"/>
    </row>
    <row r="197" spans="1:243" ht="15" x14ac:dyDescent="0.2">
      <c r="A197" s="91">
        <v>191002</v>
      </c>
      <c r="B197" s="101" t="s">
        <v>693</v>
      </c>
      <c r="C197" s="102" t="s">
        <v>138</v>
      </c>
      <c r="D197" s="103" t="s">
        <v>11</v>
      </c>
      <c r="E197" s="104"/>
      <c r="F197" s="48">
        <v>263733</v>
      </c>
      <c r="G197" s="106">
        <f t="shared" si="69"/>
        <v>0</v>
      </c>
      <c r="H197" s="95"/>
      <c r="I197" s="95"/>
      <c r="J197" s="96"/>
      <c r="K197" s="96"/>
      <c r="L197" s="91"/>
      <c r="M197" s="91"/>
      <c r="N197" s="91"/>
      <c r="O197" s="91"/>
      <c r="P197" s="91"/>
      <c r="Q197" s="91"/>
      <c r="R197" s="97">
        <f t="shared" si="53"/>
        <v>0</v>
      </c>
      <c r="S197" s="98">
        <v>3241605.1500000004</v>
      </c>
      <c r="T197" s="97"/>
      <c r="U197" s="100">
        <f t="shared" si="54"/>
        <v>0</v>
      </c>
      <c r="V197" s="107">
        <f t="shared" si="55"/>
        <v>0</v>
      </c>
      <c r="W197" s="91"/>
      <c r="X197" s="106"/>
      <c r="Y197" s="132"/>
      <c r="Z197" s="106"/>
      <c r="AA197" s="132">
        <v>15.600000000000001</v>
      </c>
      <c r="AB197" s="144">
        <v>281152.56465000001</v>
      </c>
      <c r="AC197" s="106">
        <f t="shared" si="74"/>
        <v>4385980</v>
      </c>
      <c r="AD197" s="108">
        <f t="shared" si="75"/>
        <v>4385980</v>
      </c>
      <c r="AE197" s="199"/>
      <c r="AF197" s="199"/>
    </row>
    <row r="198" spans="1:243" ht="15" x14ac:dyDescent="0.2">
      <c r="A198" s="91">
        <v>260501</v>
      </c>
      <c r="B198" s="101" t="s">
        <v>694</v>
      </c>
      <c r="C198" s="102" t="s">
        <v>112</v>
      </c>
      <c r="D198" s="103" t="s">
        <v>11</v>
      </c>
      <c r="E198" s="104"/>
      <c r="F198" s="48">
        <v>126884</v>
      </c>
      <c r="G198" s="106">
        <f t="shared" si="69"/>
        <v>0</v>
      </c>
      <c r="H198" s="95"/>
      <c r="I198" s="95"/>
      <c r="J198" s="96"/>
      <c r="K198" s="96"/>
      <c r="L198" s="91"/>
      <c r="M198" s="91"/>
      <c r="N198" s="91"/>
      <c r="O198" s="91"/>
      <c r="P198" s="91"/>
      <c r="Q198" s="91"/>
      <c r="R198" s="97">
        <f t="shared" si="53"/>
        <v>0</v>
      </c>
      <c r="S198" s="98">
        <v>3027393.9000000004</v>
      </c>
      <c r="T198" s="97"/>
      <c r="U198" s="100">
        <f t="shared" si="54"/>
        <v>0</v>
      </c>
      <c r="V198" s="107">
        <f t="shared" si="55"/>
        <v>0</v>
      </c>
      <c r="W198" s="91"/>
      <c r="X198" s="106"/>
      <c r="Y198" s="132"/>
      <c r="Z198" s="106"/>
      <c r="AA198" s="132">
        <v>22.000000000000007</v>
      </c>
      <c r="AB198" s="144">
        <v>135264.6882</v>
      </c>
      <c r="AC198" s="106">
        <f t="shared" si="74"/>
        <v>2975823</v>
      </c>
      <c r="AD198" s="108">
        <f t="shared" si="75"/>
        <v>2975823</v>
      </c>
      <c r="AE198" s="199"/>
      <c r="AF198" s="199"/>
    </row>
    <row r="199" spans="1:243" ht="15" x14ac:dyDescent="0.2">
      <c r="A199" s="91">
        <v>260202</v>
      </c>
      <c r="B199" s="101" t="s">
        <v>695</v>
      </c>
      <c r="C199" s="102" t="s">
        <v>113</v>
      </c>
      <c r="D199" s="103" t="s">
        <v>8</v>
      </c>
      <c r="E199" s="104"/>
      <c r="F199" s="48">
        <v>128899</v>
      </c>
      <c r="G199" s="106">
        <f t="shared" si="69"/>
        <v>0</v>
      </c>
      <c r="H199" s="95"/>
      <c r="I199" s="95"/>
      <c r="J199" s="96"/>
      <c r="K199" s="96"/>
      <c r="L199" s="91"/>
      <c r="M199" s="91"/>
      <c r="N199" s="91"/>
      <c r="O199" s="91"/>
      <c r="P199" s="91"/>
      <c r="Q199" s="91"/>
      <c r="R199" s="97">
        <f t="shared" si="53"/>
        <v>0</v>
      </c>
      <c r="S199" s="98">
        <v>1962312.75</v>
      </c>
      <c r="T199" s="97"/>
      <c r="U199" s="100">
        <f t="shared" si="54"/>
        <v>0</v>
      </c>
      <c r="V199" s="107">
        <f t="shared" si="55"/>
        <v>0</v>
      </c>
      <c r="W199" s="91"/>
      <c r="X199" s="106"/>
      <c r="Y199" s="132"/>
      <c r="Z199" s="106"/>
      <c r="AA199" s="132">
        <v>17.600000000000005</v>
      </c>
      <c r="AB199" s="144">
        <v>137412.77895000001</v>
      </c>
      <c r="AC199" s="106">
        <f t="shared" si="74"/>
        <v>2418465</v>
      </c>
      <c r="AD199" s="108">
        <f t="shared" si="75"/>
        <v>2418465</v>
      </c>
      <c r="AE199" s="199"/>
      <c r="AF199" s="199"/>
    </row>
    <row r="200" spans="1:243" ht="30" x14ac:dyDescent="0.2">
      <c r="A200" s="91"/>
      <c r="B200" s="101" t="s">
        <v>696</v>
      </c>
      <c r="C200" s="102" t="s">
        <v>798</v>
      </c>
      <c r="D200" s="103" t="s">
        <v>5</v>
      </c>
      <c r="E200" s="104"/>
      <c r="F200" s="48">
        <f>'PUERTA HIDRAULICA'!F4</f>
        <v>11626907.151999999</v>
      </c>
      <c r="G200" s="106">
        <f t="shared" si="69"/>
        <v>0</v>
      </c>
      <c r="H200" s="95"/>
      <c r="I200" s="95"/>
      <c r="J200" s="96"/>
      <c r="K200" s="96"/>
      <c r="L200" s="91"/>
      <c r="M200" s="91"/>
      <c r="N200" s="91"/>
      <c r="O200" s="91"/>
      <c r="P200" s="91"/>
      <c r="Q200" s="91"/>
      <c r="R200" s="97">
        <f t="shared" si="53"/>
        <v>0</v>
      </c>
      <c r="S200" s="98">
        <v>15696324.449999999</v>
      </c>
      <c r="T200" s="97"/>
      <c r="U200" s="100">
        <f t="shared" si="54"/>
        <v>0</v>
      </c>
      <c r="V200" s="107">
        <f t="shared" si="55"/>
        <v>0</v>
      </c>
      <c r="W200" s="91"/>
      <c r="X200" s="106"/>
      <c r="Y200" s="132"/>
      <c r="Z200" s="106"/>
      <c r="AA200" s="132">
        <v>1</v>
      </c>
      <c r="AB200" s="144">
        <v>12394864.369389599</v>
      </c>
      <c r="AC200" s="106">
        <f t="shared" si="74"/>
        <v>12394864</v>
      </c>
      <c r="AD200" s="108">
        <f>G200+Z200+AC200</f>
        <v>12394864</v>
      </c>
      <c r="AE200" s="199"/>
      <c r="AF200" s="199"/>
    </row>
    <row r="201" spans="1:243" ht="18" customHeight="1" x14ac:dyDescent="0.2">
      <c r="A201" s="91"/>
      <c r="B201" s="111" t="s">
        <v>697</v>
      </c>
      <c r="C201" s="93" t="s">
        <v>819</v>
      </c>
      <c r="D201" s="125"/>
      <c r="E201" s="140"/>
      <c r="F201" s="126"/>
      <c r="G201" s="113">
        <f>SUM(G202:G205)</f>
        <v>0</v>
      </c>
      <c r="H201" s="95"/>
      <c r="I201" s="95"/>
      <c r="J201" s="96"/>
      <c r="K201" s="96"/>
      <c r="L201" s="91"/>
      <c r="M201" s="91"/>
      <c r="N201" s="91"/>
      <c r="O201" s="91"/>
      <c r="P201" s="91"/>
      <c r="Q201" s="91"/>
      <c r="R201" s="142">
        <f t="shared" ref="R201:R260" si="76">(G201*0.3)+G201+(G201*0.05)</f>
        <v>0</v>
      </c>
      <c r="S201" s="98">
        <v>31683097.350000001</v>
      </c>
      <c r="T201" s="97"/>
      <c r="U201" s="100">
        <f t="shared" ref="U201:U264" si="77">+G201*$U$7</f>
        <v>0</v>
      </c>
      <c r="V201" s="107"/>
      <c r="W201" s="91"/>
      <c r="X201" s="113"/>
      <c r="Y201" s="113"/>
      <c r="Z201" s="113">
        <f>SUM(Z202:Z205)</f>
        <v>27661471</v>
      </c>
      <c r="AA201" s="113"/>
      <c r="AB201" s="113"/>
      <c r="AC201" s="113"/>
      <c r="AD201" s="94">
        <f>G201+Z201+AC201</f>
        <v>27661471</v>
      </c>
    </row>
    <row r="202" spans="1:243" s="41" customFormat="1" ht="15" x14ac:dyDescent="0.2">
      <c r="A202" s="91">
        <v>240316</v>
      </c>
      <c r="B202" s="101" t="s">
        <v>698</v>
      </c>
      <c r="C202" s="102" t="s">
        <v>839</v>
      </c>
      <c r="D202" s="103" t="s">
        <v>5</v>
      </c>
      <c r="E202" s="104"/>
      <c r="F202" s="48">
        <v>960346</v>
      </c>
      <c r="G202" s="106">
        <f t="shared" si="69"/>
        <v>0</v>
      </c>
      <c r="H202" s="117"/>
      <c r="I202" s="117"/>
      <c r="J202" s="118"/>
      <c r="K202" s="118"/>
      <c r="L202" s="119"/>
      <c r="M202" s="119"/>
      <c r="N202" s="119"/>
      <c r="O202" s="119"/>
      <c r="P202" s="119"/>
      <c r="Q202" s="119"/>
      <c r="R202" s="97">
        <f t="shared" si="76"/>
        <v>0</v>
      </c>
      <c r="S202" s="120">
        <v>4204467</v>
      </c>
      <c r="T202" s="121"/>
      <c r="U202" s="100">
        <f t="shared" si="77"/>
        <v>0</v>
      </c>
      <c r="V202" s="107">
        <f t="shared" ref="V202:V264" si="78">+G202+U202</f>
        <v>0</v>
      </c>
      <c r="W202" s="119"/>
      <c r="X202" s="132">
        <v>4</v>
      </c>
      <c r="Y202" s="132">
        <f>(F202*3.5%)+F202</f>
        <v>993958.11</v>
      </c>
      <c r="Z202" s="106">
        <f t="shared" ref="Z202:Z205" si="79">ROUND(X202*Y202,0)</f>
        <v>3975832</v>
      </c>
      <c r="AA202" s="106"/>
      <c r="AB202" s="132"/>
      <c r="AC202" s="106"/>
      <c r="AD202" s="108">
        <f t="shared" ref="AD202:AD205" si="80">G202+Z202+AC202</f>
        <v>3975832</v>
      </c>
      <c r="AE202" s="197"/>
      <c r="AF202" s="197"/>
      <c r="AG202" s="197"/>
      <c r="AH202" s="197"/>
      <c r="AI202" s="197"/>
      <c r="AJ202" s="197"/>
      <c r="AK202" s="197"/>
      <c r="AL202" s="197"/>
      <c r="AM202" s="197"/>
      <c r="AN202" s="197"/>
      <c r="AO202" s="197"/>
      <c r="AP202" s="197"/>
      <c r="AQ202" s="197"/>
      <c r="AR202" s="197"/>
      <c r="AS202" s="197"/>
      <c r="AT202" s="197"/>
      <c r="AU202" s="197"/>
      <c r="AV202" s="197"/>
      <c r="AW202" s="197"/>
      <c r="AX202" s="197"/>
      <c r="AY202" s="197"/>
      <c r="AZ202" s="197"/>
      <c r="BA202" s="197"/>
      <c r="BB202" s="197"/>
      <c r="BC202" s="197"/>
      <c r="BD202" s="197"/>
      <c r="BE202" s="197"/>
      <c r="BF202" s="197"/>
      <c r="BG202" s="197"/>
      <c r="BH202" s="197"/>
      <c r="BI202" s="197"/>
      <c r="BJ202" s="197"/>
      <c r="BK202" s="197"/>
      <c r="BL202" s="197"/>
      <c r="BM202" s="197"/>
      <c r="BN202" s="197"/>
      <c r="BO202" s="197"/>
      <c r="BP202" s="197"/>
      <c r="BQ202" s="197"/>
      <c r="BR202" s="197"/>
      <c r="BS202" s="197"/>
      <c r="BT202" s="197"/>
      <c r="BU202" s="197"/>
      <c r="BV202" s="197"/>
      <c r="BW202" s="197"/>
      <c r="BX202" s="197"/>
      <c r="BY202" s="197"/>
      <c r="BZ202" s="197"/>
      <c r="CA202" s="197"/>
      <c r="CB202" s="197"/>
      <c r="CC202" s="197"/>
      <c r="CD202" s="197"/>
      <c r="CE202" s="197"/>
      <c r="CF202" s="197"/>
      <c r="CG202" s="197"/>
      <c r="CH202" s="197"/>
      <c r="CI202" s="197"/>
      <c r="CJ202" s="197"/>
      <c r="CK202" s="197"/>
      <c r="CL202" s="197"/>
      <c r="CM202" s="197"/>
      <c r="CN202" s="197"/>
      <c r="CO202" s="197"/>
      <c r="CP202" s="197"/>
      <c r="CQ202" s="197"/>
      <c r="CR202" s="197"/>
      <c r="CS202" s="197"/>
      <c r="CT202" s="197"/>
      <c r="CU202" s="197"/>
      <c r="CV202" s="197"/>
      <c r="CW202" s="197"/>
      <c r="CX202" s="197"/>
      <c r="CY202" s="197"/>
      <c r="CZ202" s="197"/>
      <c r="DA202" s="197"/>
      <c r="DB202" s="197"/>
      <c r="DC202" s="197"/>
      <c r="DD202" s="197"/>
      <c r="DE202" s="197"/>
      <c r="DF202" s="197"/>
      <c r="DG202" s="197"/>
      <c r="DH202" s="197"/>
      <c r="DI202" s="197"/>
      <c r="DJ202" s="197"/>
      <c r="DK202" s="197"/>
      <c r="DL202" s="197"/>
      <c r="DM202" s="197"/>
      <c r="DN202" s="197"/>
      <c r="DO202" s="197"/>
      <c r="DP202" s="197"/>
      <c r="DQ202" s="197"/>
      <c r="DR202" s="197"/>
      <c r="DS202" s="197"/>
      <c r="DT202" s="197"/>
      <c r="DU202" s="197"/>
      <c r="DV202" s="197"/>
      <c r="DW202" s="197"/>
      <c r="DX202" s="197"/>
      <c r="DY202" s="197"/>
      <c r="DZ202" s="197"/>
      <c r="EA202" s="197"/>
      <c r="EB202" s="197"/>
      <c r="EC202" s="197"/>
      <c r="ED202" s="197"/>
      <c r="EE202" s="197"/>
      <c r="EF202" s="197"/>
      <c r="EG202" s="197"/>
      <c r="EH202" s="197"/>
      <c r="EI202" s="197"/>
      <c r="EJ202" s="197"/>
      <c r="EK202" s="197"/>
      <c r="EL202" s="197"/>
      <c r="EM202" s="197"/>
      <c r="EN202" s="197"/>
      <c r="EO202" s="197"/>
      <c r="EP202" s="197"/>
      <c r="EQ202" s="197"/>
      <c r="ER202" s="197"/>
      <c r="ES202" s="197"/>
      <c r="ET202" s="197"/>
      <c r="EU202" s="197"/>
      <c r="EV202" s="197"/>
      <c r="EW202" s="197"/>
      <c r="EX202" s="197"/>
      <c r="EY202" s="197"/>
      <c r="EZ202" s="197"/>
      <c r="FA202" s="197"/>
      <c r="FB202" s="197"/>
      <c r="FC202" s="197"/>
      <c r="FD202" s="197"/>
      <c r="FE202" s="197"/>
      <c r="FF202" s="197"/>
      <c r="FG202" s="197"/>
      <c r="FH202" s="197"/>
      <c r="FI202" s="197"/>
      <c r="FJ202" s="197"/>
      <c r="FK202" s="197"/>
      <c r="FL202" s="197"/>
      <c r="FM202" s="197"/>
      <c r="FN202" s="197"/>
      <c r="FO202" s="197"/>
      <c r="FP202" s="197"/>
      <c r="FQ202" s="197"/>
      <c r="FR202" s="197"/>
      <c r="FS202" s="197"/>
      <c r="FT202" s="197"/>
      <c r="FU202" s="197"/>
      <c r="FV202" s="197"/>
      <c r="FW202" s="197"/>
      <c r="FX202" s="197"/>
      <c r="FY202" s="197"/>
      <c r="FZ202" s="197"/>
      <c r="GA202" s="197"/>
      <c r="GB202" s="197"/>
      <c r="GC202" s="197"/>
      <c r="GD202" s="197"/>
      <c r="GE202" s="197"/>
      <c r="GF202" s="197"/>
      <c r="GG202" s="197"/>
      <c r="GH202" s="197"/>
      <c r="GI202" s="197"/>
      <c r="GJ202" s="197"/>
      <c r="GK202" s="197"/>
      <c r="GL202" s="197"/>
      <c r="GM202" s="197"/>
      <c r="GN202" s="197"/>
      <c r="GO202" s="197"/>
      <c r="GP202" s="197"/>
      <c r="GQ202" s="197"/>
      <c r="GR202" s="197"/>
      <c r="GS202" s="197"/>
      <c r="GT202" s="197"/>
      <c r="GU202" s="197"/>
      <c r="GV202" s="197"/>
      <c r="GW202" s="197"/>
      <c r="GX202" s="197"/>
      <c r="GY202" s="197"/>
      <c r="GZ202" s="197"/>
      <c r="HA202" s="197"/>
      <c r="HB202" s="197"/>
      <c r="HC202" s="197"/>
      <c r="HD202" s="197"/>
      <c r="HE202" s="197"/>
      <c r="HF202" s="197"/>
      <c r="HG202" s="197"/>
      <c r="HH202" s="197"/>
      <c r="HI202" s="197"/>
      <c r="HJ202" s="197"/>
      <c r="HK202" s="197"/>
      <c r="HL202" s="197"/>
      <c r="HM202" s="197"/>
      <c r="HN202" s="197"/>
      <c r="HO202" s="197"/>
      <c r="HP202" s="197"/>
      <c r="HQ202" s="197"/>
      <c r="HR202" s="197"/>
      <c r="HS202" s="197"/>
      <c r="HT202" s="197"/>
      <c r="HU202" s="197"/>
      <c r="HV202" s="197"/>
      <c r="HW202" s="197"/>
      <c r="HX202" s="197"/>
      <c r="HY202" s="197"/>
      <c r="HZ202" s="197"/>
      <c r="IA202" s="197"/>
      <c r="IB202" s="197"/>
      <c r="IC202" s="197"/>
      <c r="ID202" s="197"/>
      <c r="IE202" s="197"/>
      <c r="IF202" s="197"/>
      <c r="IG202" s="197"/>
      <c r="IH202" s="197"/>
      <c r="II202" s="197"/>
    </row>
    <row r="203" spans="1:243" s="41" customFormat="1" ht="15" x14ac:dyDescent="0.2">
      <c r="A203" s="91">
        <v>240316</v>
      </c>
      <c r="B203" s="101" t="s">
        <v>699</v>
      </c>
      <c r="C203" s="102" t="s">
        <v>838</v>
      </c>
      <c r="D203" s="103" t="s">
        <v>5</v>
      </c>
      <c r="E203" s="104"/>
      <c r="F203" s="48">
        <v>1376600</v>
      </c>
      <c r="G203" s="106">
        <f t="shared" ref="G203" si="81">ROUND(E203*F203,0)</f>
        <v>0</v>
      </c>
      <c r="H203" s="117"/>
      <c r="I203" s="117"/>
      <c r="J203" s="118"/>
      <c r="K203" s="118"/>
      <c r="L203" s="119"/>
      <c r="M203" s="119"/>
      <c r="N203" s="119"/>
      <c r="O203" s="119"/>
      <c r="P203" s="119"/>
      <c r="Q203" s="119"/>
      <c r="R203" s="97">
        <f t="shared" si="76"/>
        <v>0</v>
      </c>
      <c r="S203" s="120">
        <v>8408934</v>
      </c>
      <c r="T203" s="121"/>
      <c r="U203" s="100">
        <f t="shared" si="77"/>
        <v>0</v>
      </c>
      <c r="V203" s="107">
        <f t="shared" si="78"/>
        <v>0</v>
      </c>
      <c r="W203" s="119"/>
      <c r="X203" s="132">
        <v>4</v>
      </c>
      <c r="Y203" s="132">
        <f>(F203*3.5%)+F203</f>
        <v>1424781</v>
      </c>
      <c r="Z203" s="106">
        <f t="shared" si="79"/>
        <v>5699124</v>
      </c>
      <c r="AA203" s="106"/>
      <c r="AB203" s="132"/>
      <c r="AC203" s="106"/>
      <c r="AD203" s="108">
        <f t="shared" si="80"/>
        <v>5699124</v>
      </c>
      <c r="AE203" s="197"/>
      <c r="AF203" s="197"/>
      <c r="AG203" s="197"/>
      <c r="AH203" s="197"/>
      <c r="AI203" s="197"/>
      <c r="AJ203" s="197"/>
      <c r="AK203" s="197"/>
      <c r="AL203" s="197"/>
      <c r="AM203" s="197"/>
      <c r="AN203" s="197"/>
      <c r="AO203" s="197"/>
      <c r="AP203" s="197"/>
      <c r="AQ203" s="197"/>
      <c r="AR203" s="197"/>
      <c r="AS203" s="197"/>
      <c r="AT203" s="197"/>
      <c r="AU203" s="197"/>
      <c r="AV203" s="197"/>
      <c r="AW203" s="197"/>
      <c r="AX203" s="197"/>
      <c r="AY203" s="197"/>
      <c r="AZ203" s="197"/>
      <c r="BA203" s="197"/>
      <c r="BB203" s="197"/>
      <c r="BC203" s="197"/>
      <c r="BD203" s="197"/>
      <c r="BE203" s="197"/>
      <c r="BF203" s="197"/>
      <c r="BG203" s="197"/>
      <c r="BH203" s="197"/>
      <c r="BI203" s="197"/>
      <c r="BJ203" s="197"/>
      <c r="BK203" s="197"/>
      <c r="BL203" s="197"/>
      <c r="BM203" s="197"/>
      <c r="BN203" s="197"/>
      <c r="BO203" s="197"/>
      <c r="BP203" s="197"/>
      <c r="BQ203" s="197"/>
      <c r="BR203" s="197"/>
      <c r="BS203" s="197"/>
      <c r="BT203" s="197"/>
      <c r="BU203" s="197"/>
      <c r="BV203" s="197"/>
      <c r="BW203" s="197"/>
      <c r="BX203" s="197"/>
      <c r="BY203" s="197"/>
      <c r="BZ203" s="197"/>
      <c r="CA203" s="197"/>
      <c r="CB203" s="197"/>
      <c r="CC203" s="197"/>
      <c r="CD203" s="197"/>
      <c r="CE203" s="197"/>
      <c r="CF203" s="197"/>
      <c r="CG203" s="197"/>
      <c r="CH203" s="197"/>
      <c r="CI203" s="197"/>
      <c r="CJ203" s="197"/>
      <c r="CK203" s="197"/>
      <c r="CL203" s="197"/>
      <c r="CM203" s="197"/>
      <c r="CN203" s="197"/>
      <c r="CO203" s="197"/>
      <c r="CP203" s="197"/>
      <c r="CQ203" s="197"/>
      <c r="CR203" s="197"/>
      <c r="CS203" s="197"/>
      <c r="CT203" s="197"/>
      <c r="CU203" s="197"/>
      <c r="CV203" s="197"/>
      <c r="CW203" s="197"/>
      <c r="CX203" s="197"/>
      <c r="CY203" s="197"/>
      <c r="CZ203" s="197"/>
      <c r="DA203" s="197"/>
      <c r="DB203" s="197"/>
      <c r="DC203" s="197"/>
      <c r="DD203" s="197"/>
      <c r="DE203" s="197"/>
      <c r="DF203" s="197"/>
      <c r="DG203" s="197"/>
      <c r="DH203" s="197"/>
      <c r="DI203" s="197"/>
      <c r="DJ203" s="197"/>
      <c r="DK203" s="197"/>
      <c r="DL203" s="197"/>
      <c r="DM203" s="197"/>
      <c r="DN203" s="197"/>
      <c r="DO203" s="197"/>
      <c r="DP203" s="197"/>
      <c r="DQ203" s="197"/>
      <c r="DR203" s="197"/>
      <c r="DS203" s="197"/>
      <c r="DT203" s="197"/>
      <c r="DU203" s="197"/>
      <c r="DV203" s="197"/>
      <c r="DW203" s="197"/>
      <c r="DX203" s="197"/>
      <c r="DY203" s="197"/>
      <c r="DZ203" s="197"/>
      <c r="EA203" s="197"/>
      <c r="EB203" s="197"/>
      <c r="EC203" s="197"/>
      <c r="ED203" s="197"/>
      <c r="EE203" s="197"/>
      <c r="EF203" s="197"/>
      <c r="EG203" s="197"/>
      <c r="EH203" s="197"/>
      <c r="EI203" s="197"/>
      <c r="EJ203" s="197"/>
      <c r="EK203" s="197"/>
      <c r="EL203" s="197"/>
      <c r="EM203" s="197"/>
      <c r="EN203" s="197"/>
      <c r="EO203" s="197"/>
      <c r="EP203" s="197"/>
      <c r="EQ203" s="197"/>
      <c r="ER203" s="197"/>
      <c r="ES203" s="197"/>
      <c r="ET203" s="197"/>
      <c r="EU203" s="197"/>
      <c r="EV203" s="197"/>
      <c r="EW203" s="197"/>
      <c r="EX203" s="197"/>
      <c r="EY203" s="197"/>
      <c r="EZ203" s="197"/>
      <c r="FA203" s="197"/>
      <c r="FB203" s="197"/>
      <c r="FC203" s="197"/>
      <c r="FD203" s="197"/>
      <c r="FE203" s="197"/>
      <c r="FF203" s="197"/>
      <c r="FG203" s="197"/>
      <c r="FH203" s="197"/>
      <c r="FI203" s="197"/>
      <c r="FJ203" s="197"/>
      <c r="FK203" s="197"/>
      <c r="FL203" s="197"/>
      <c r="FM203" s="197"/>
      <c r="FN203" s="197"/>
      <c r="FO203" s="197"/>
      <c r="FP203" s="197"/>
      <c r="FQ203" s="197"/>
      <c r="FR203" s="197"/>
      <c r="FS203" s="197"/>
      <c r="FT203" s="197"/>
      <c r="FU203" s="197"/>
      <c r="FV203" s="197"/>
      <c r="FW203" s="197"/>
      <c r="FX203" s="197"/>
      <c r="FY203" s="197"/>
      <c r="FZ203" s="197"/>
      <c r="GA203" s="197"/>
      <c r="GB203" s="197"/>
      <c r="GC203" s="197"/>
      <c r="GD203" s="197"/>
      <c r="GE203" s="197"/>
      <c r="GF203" s="197"/>
      <c r="GG203" s="197"/>
      <c r="GH203" s="197"/>
      <c r="GI203" s="197"/>
      <c r="GJ203" s="197"/>
      <c r="GK203" s="197"/>
      <c r="GL203" s="197"/>
      <c r="GM203" s="197"/>
      <c r="GN203" s="197"/>
      <c r="GO203" s="197"/>
      <c r="GP203" s="197"/>
      <c r="GQ203" s="197"/>
      <c r="GR203" s="197"/>
      <c r="GS203" s="197"/>
      <c r="GT203" s="197"/>
      <c r="GU203" s="197"/>
      <c r="GV203" s="197"/>
      <c r="GW203" s="197"/>
      <c r="GX203" s="197"/>
      <c r="GY203" s="197"/>
      <c r="GZ203" s="197"/>
      <c r="HA203" s="197"/>
      <c r="HB203" s="197"/>
      <c r="HC203" s="197"/>
      <c r="HD203" s="197"/>
      <c r="HE203" s="197"/>
      <c r="HF203" s="197"/>
      <c r="HG203" s="197"/>
      <c r="HH203" s="197"/>
      <c r="HI203" s="197"/>
      <c r="HJ203" s="197"/>
      <c r="HK203" s="197"/>
      <c r="HL203" s="197"/>
      <c r="HM203" s="197"/>
      <c r="HN203" s="197"/>
      <c r="HO203" s="197"/>
      <c r="HP203" s="197"/>
      <c r="HQ203" s="197"/>
      <c r="HR203" s="197"/>
      <c r="HS203" s="197"/>
      <c r="HT203" s="197"/>
      <c r="HU203" s="197"/>
      <c r="HV203" s="197"/>
      <c r="HW203" s="197"/>
      <c r="HX203" s="197"/>
      <c r="HY203" s="197"/>
      <c r="HZ203" s="197"/>
      <c r="IA203" s="197"/>
      <c r="IB203" s="197"/>
      <c r="IC203" s="197"/>
      <c r="ID203" s="197"/>
      <c r="IE203" s="197"/>
      <c r="IF203" s="197"/>
      <c r="IG203" s="197"/>
      <c r="IH203" s="197"/>
      <c r="II203" s="197"/>
    </row>
    <row r="204" spans="1:243" s="41" customFormat="1" ht="17" customHeight="1" x14ac:dyDescent="0.2">
      <c r="A204" s="91">
        <v>240317</v>
      </c>
      <c r="B204" s="101" t="s">
        <v>700</v>
      </c>
      <c r="C204" s="102" t="s">
        <v>840</v>
      </c>
      <c r="D204" s="103" t="s">
        <v>5</v>
      </c>
      <c r="E204" s="104"/>
      <c r="F204" s="48">
        <v>193623</v>
      </c>
      <c r="G204" s="106">
        <f t="shared" si="69"/>
        <v>0</v>
      </c>
      <c r="H204" s="117"/>
      <c r="I204" s="117"/>
      <c r="J204" s="118"/>
      <c r="K204" s="118"/>
      <c r="L204" s="119"/>
      <c r="M204" s="119"/>
      <c r="N204" s="119"/>
      <c r="O204" s="119"/>
      <c r="P204" s="119"/>
      <c r="Q204" s="119"/>
      <c r="R204" s="97">
        <f t="shared" si="76"/>
        <v>0</v>
      </c>
      <c r="S204" s="120">
        <v>2614184.5499999998</v>
      </c>
      <c r="T204" s="121"/>
      <c r="U204" s="100">
        <f t="shared" si="77"/>
        <v>0</v>
      </c>
      <c r="V204" s="107">
        <f t="shared" si="78"/>
        <v>0</v>
      </c>
      <c r="W204" s="119"/>
      <c r="X204" s="132">
        <v>4</v>
      </c>
      <c r="Y204" s="132">
        <f t="shared" ref="Y204" si="82">(F204*3.5%)+F204</f>
        <v>200399.80499999999</v>
      </c>
      <c r="Z204" s="106">
        <f t="shared" si="79"/>
        <v>801599</v>
      </c>
      <c r="AA204" s="106"/>
      <c r="AB204" s="132"/>
      <c r="AC204" s="106"/>
      <c r="AD204" s="108">
        <f t="shared" si="80"/>
        <v>801599</v>
      </c>
      <c r="AE204" s="197"/>
      <c r="AF204" s="197"/>
      <c r="AG204" s="197"/>
      <c r="AH204" s="197"/>
      <c r="AI204" s="197"/>
      <c r="AJ204" s="197"/>
      <c r="AK204" s="197"/>
      <c r="AL204" s="197"/>
      <c r="AM204" s="197"/>
      <c r="AN204" s="197"/>
      <c r="AO204" s="197"/>
      <c r="AP204" s="197"/>
      <c r="AQ204" s="197"/>
      <c r="AR204" s="197"/>
      <c r="AS204" s="197"/>
      <c r="AT204" s="197"/>
      <c r="AU204" s="197"/>
      <c r="AV204" s="197"/>
      <c r="AW204" s="197"/>
      <c r="AX204" s="197"/>
      <c r="AY204" s="197"/>
      <c r="AZ204" s="197"/>
      <c r="BA204" s="197"/>
      <c r="BB204" s="197"/>
      <c r="BC204" s="197"/>
      <c r="BD204" s="197"/>
      <c r="BE204" s="197"/>
      <c r="BF204" s="197"/>
      <c r="BG204" s="197"/>
      <c r="BH204" s="197"/>
      <c r="BI204" s="197"/>
      <c r="BJ204" s="197"/>
      <c r="BK204" s="197"/>
      <c r="BL204" s="197"/>
      <c r="BM204" s="197"/>
      <c r="BN204" s="197"/>
      <c r="BO204" s="197"/>
      <c r="BP204" s="197"/>
      <c r="BQ204" s="197"/>
      <c r="BR204" s="197"/>
      <c r="BS204" s="197"/>
      <c r="BT204" s="197"/>
      <c r="BU204" s="197"/>
      <c r="BV204" s="197"/>
      <c r="BW204" s="197"/>
      <c r="BX204" s="197"/>
      <c r="BY204" s="197"/>
      <c r="BZ204" s="197"/>
      <c r="CA204" s="197"/>
      <c r="CB204" s="197"/>
      <c r="CC204" s="197"/>
      <c r="CD204" s="197"/>
      <c r="CE204" s="197"/>
      <c r="CF204" s="197"/>
      <c r="CG204" s="197"/>
      <c r="CH204" s="197"/>
      <c r="CI204" s="197"/>
      <c r="CJ204" s="197"/>
      <c r="CK204" s="197"/>
      <c r="CL204" s="197"/>
      <c r="CM204" s="197"/>
      <c r="CN204" s="197"/>
      <c r="CO204" s="197"/>
      <c r="CP204" s="197"/>
      <c r="CQ204" s="197"/>
      <c r="CR204" s="197"/>
      <c r="CS204" s="197"/>
      <c r="CT204" s="197"/>
      <c r="CU204" s="197"/>
      <c r="CV204" s="197"/>
      <c r="CW204" s="197"/>
      <c r="CX204" s="197"/>
      <c r="CY204" s="197"/>
      <c r="CZ204" s="197"/>
      <c r="DA204" s="197"/>
      <c r="DB204" s="197"/>
      <c r="DC204" s="197"/>
      <c r="DD204" s="197"/>
      <c r="DE204" s="197"/>
      <c r="DF204" s="197"/>
      <c r="DG204" s="197"/>
      <c r="DH204" s="197"/>
      <c r="DI204" s="197"/>
      <c r="DJ204" s="197"/>
      <c r="DK204" s="197"/>
      <c r="DL204" s="197"/>
      <c r="DM204" s="197"/>
      <c r="DN204" s="197"/>
      <c r="DO204" s="197"/>
      <c r="DP204" s="197"/>
      <c r="DQ204" s="197"/>
      <c r="DR204" s="197"/>
      <c r="DS204" s="197"/>
      <c r="DT204" s="197"/>
      <c r="DU204" s="197"/>
      <c r="DV204" s="197"/>
      <c r="DW204" s="197"/>
      <c r="DX204" s="197"/>
      <c r="DY204" s="197"/>
      <c r="DZ204" s="197"/>
      <c r="EA204" s="197"/>
      <c r="EB204" s="197"/>
      <c r="EC204" s="197"/>
      <c r="ED204" s="197"/>
      <c r="EE204" s="197"/>
      <c r="EF204" s="197"/>
      <c r="EG204" s="197"/>
      <c r="EH204" s="197"/>
      <c r="EI204" s="197"/>
      <c r="EJ204" s="197"/>
      <c r="EK204" s="197"/>
      <c r="EL204" s="197"/>
      <c r="EM204" s="197"/>
      <c r="EN204" s="197"/>
      <c r="EO204" s="197"/>
      <c r="EP204" s="197"/>
      <c r="EQ204" s="197"/>
      <c r="ER204" s="197"/>
      <c r="ES204" s="197"/>
      <c r="ET204" s="197"/>
      <c r="EU204" s="197"/>
      <c r="EV204" s="197"/>
      <c r="EW204" s="197"/>
      <c r="EX204" s="197"/>
      <c r="EY204" s="197"/>
      <c r="EZ204" s="197"/>
      <c r="FA204" s="197"/>
      <c r="FB204" s="197"/>
      <c r="FC204" s="197"/>
      <c r="FD204" s="197"/>
      <c r="FE204" s="197"/>
      <c r="FF204" s="197"/>
      <c r="FG204" s="197"/>
      <c r="FH204" s="197"/>
      <c r="FI204" s="197"/>
      <c r="FJ204" s="197"/>
      <c r="FK204" s="197"/>
      <c r="FL204" s="197"/>
      <c r="FM204" s="197"/>
      <c r="FN204" s="197"/>
      <c r="FO204" s="197"/>
      <c r="FP204" s="197"/>
      <c r="FQ204" s="197"/>
      <c r="FR204" s="197"/>
      <c r="FS204" s="197"/>
      <c r="FT204" s="197"/>
      <c r="FU204" s="197"/>
      <c r="FV204" s="197"/>
      <c r="FW204" s="197"/>
      <c r="FX204" s="197"/>
      <c r="FY204" s="197"/>
      <c r="FZ204" s="197"/>
      <c r="GA204" s="197"/>
      <c r="GB204" s="197"/>
      <c r="GC204" s="197"/>
      <c r="GD204" s="197"/>
      <c r="GE204" s="197"/>
      <c r="GF204" s="197"/>
      <c r="GG204" s="197"/>
      <c r="GH204" s="197"/>
      <c r="GI204" s="197"/>
      <c r="GJ204" s="197"/>
      <c r="GK204" s="197"/>
      <c r="GL204" s="197"/>
      <c r="GM204" s="197"/>
      <c r="GN204" s="197"/>
      <c r="GO204" s="197"/>
      <c r="GP204" s="197"/>
      <c r="GQ204" s="197"/>
      <c r="GR204" s="197"/>
      <c r="GS204" s="197"/>
      <c r="GT204" s="197"/>
      <c r="GU204" s="197"/>
      <c r="GV204" s="197"/>
      <c r="GW204" s="197"/>
      <c r="GX204" s="197"/>
      <c r="GY204" s="197"/>
      <c r="GZ204" s="197"/>
      <c r="HA204" s="197"/>
      <c r="HB204" s="197"/>
      <c r="HC204" s="197"/>
      <c r="HD204" s="197"/>
      <c r="HE204" s="197"/>
      <c r="HF204" s="197"/>
      <c r="HG204" s="197"/>
      <c r="HH204" s="197"/>
      <c r="HI204" s="197"/>
      <c r="HJ204" s="197"/>
      <c r="HK204" s="197"/>
      <c r="HL204" s="197"/>
      <c r="HM204" s="197"/>
      <c r="HN204" s="197"/>
      <c r="HO204" s="197"/>
      <c r="HP204" s="197"/>
      <c r="HQ204" s="197"/>
      <c r="HR204" s="197"/>
      <c r="HS204" s="197"/>
      <c r="HT204" s="197"/>
      <c r="HU204" s="197"/>
      <c r="HV204" s="197"/>
      <c r="HW204" s="197"/>
      <c r="HX204" s="197"/>
      <c r="HY204" s="197"/>
      <c r="HZ204" s="197"/>
      <c r="IA204" s="197"/>
      <c r="IB204" s="197"/>
      <c r="IC204" s="197"/>
      <c r="ID204" s="197"/>
      <c r="IE204" s="197"/>
      <c r="IF204" s="197"/>
      <c r="IG204" s="197"/>
      <c r="IH204" s="197"/>
      <c r="II204" s="197"/>
    </row>
    <row r="205" spans="1:243" s="41" customFormat="1" ht="17" customHeight="1" x14ac:dyDescent="0.2">
      <c r="A205" s="91">
        <v>240315</v>
      </c>
      <c r="B205" s="101" t="s">
        <v>701</v>
      </c>
      <c r="C205" s="102" t="s">
        <v>841</v>
      </c>
      <c r="D205" s="103" t="s">
        <v>5</v>
      </c>
      <c r="E205" s="104"/>
      <c r="F205" s="48">
        <v>2075473</v>
      </c>
      <c r="G205" s="106">
        <f t="shared" si="69"/>
        <v>0</v>
      </c>
      <c r="H205" s="117"/>
      <c r="I205" s="117"/>
      <c r="J205" s="118"/>
      <c r="K205" s="118"/>
      <c r="L205" s="119"/>
      <c r="M205" s="119"/>
      <c r="N205" s="119"/>
      <c r="O205" s="119"/>
      <c r="P205" s="119"/>
      <c r="Q205" s="119"/>
      <c r="R205" s="97">
        <f t="shared" si="76"/>
        <v>0</v>
      </c>
      <c r="S205" s="120">
        <v>16455511.800000001</v>
      </c>
      <c r="T205" s="121"/>
      <c r="U205" s="100">
        <f t="shared" si="77"/>
        <v>0</v>
      </c>
      <c r="V205" s="107">
        <f t="shared" si="78"/>
        <v>0</v>
      </c>
      <c r="W205" s="119"/>
      <c r="X205" s="132">
        <v>8</v>
      </c>
      <c r="Y205" s="132">
        <f>(F205*3.5%)+F205</f>
        <v>2148114.5550000002</v>
      </c>
      <c r="Z205" s="106">
        <f t="shared" si="79"/>
        <v>17184916</v>
      </c>
      <c r="AA205" s="106"/>
      <c r="AB205" s="132"/>
      <c r="AC205" s="106"/>
      <c r="AD205" s="108">
        <f t="shared" si="80"/>
        <v>17184916</v>
      </c>
      <c r="AE205" s="197"/>
      <c r="AF205" s="197"/>
      <c r="AG205" s="197"/>
      <c r="AH205" s="197"/>
      <c r="AI205" s="197"/>
      <c r="AJ205" s="197"/>
      <c r="AK205" s="197"/>
      <c r="AL205" s="197"/>
      <c r="AM205" s="197"/>
      <c r="AN205" s="197"/>
      <c r="AO205" s="197"/>
      <c r="AP205" s="197"/>
      <c r="AQ205" s="197"/>
      <c r="AR205" s="197"/>
      <c r="AS205" s="197"/>
      <c r="AT205" s="197"/>
      <c r="AU205" s="197"/>
      <c r="AV205" s="197"/>
      <c r="AW205" s="197"/>
      <c r="AX205" s="197"/>
      <c r="AY205" s="197"/>
      <c r="AZ205" s="197"/>
      <c r="BA205" s="197"/>
      <c r="BB205" s="197"/>
      <c r="BC205" s="197"/>
      <c r="BD205" s="197"/>
      <c r="BE205" s="197"/>
      <c r="BF205" s="197"/>
      <c r="BG205" s="197"/>
      <c r="BH205" s="197"/>
      <c r="BI205" s="197"/>
      <c r="BJ205" s="197"/>
      <c r="BK205" s="197"/>
      <c r="BL205" s="197"/>
      <c r="BM205" s="197"/>
      <c r="BN205" s="197"/>
      <c r="BO205" s="197"/>
      <c r="BP205" s="197"/>
      <c r="BQ205" s="197"/>
      <c r="BR205" s="197"/>
      <c r="BS205" s="197"/>
      <c r="BT205" s="197"/>
      <c r="BU205" s="197"/>
      <c r="BV205" s="197"/>
      <c r="BW205" s="197"/>
      <c r="BX205" s="197"/>
      <c r="BY205" s="197"/>
      <c r="BZ205" s="197"/>
      <c r="CA205" s="197"/>
      <c r="CB205" s="197"/>
      <c r="CC205" s="197"/>
      <c r="CD205" s="197"/>
      <c r="CE205" s="197"/>
      <c r="CF205" s="197"/>
      <c r="CG205" s="197"/>
      <c r="CH205" s="197"/>
      <c r="CI205" s="197"/>
      <c r="CJ205" s="197"/>
      <c r="CK205" s="197"/>
      <c r="CL205" s="197"/>
      <c r="CM205" s="197"/>
      <c r="CN205" s="197"/>
      <c r="CO205" s="197"/>
      <c r="CP205" s="197"/>
      <c r="CQ205" s="197"/>
      <c r="CR205" s="197"/>
      <c r="CS205" s="197"/>
      <c r="CT205" s="197"/>
      <c r="CU205" s="197"/>
      <c r="CV205" s="197"/>
      <c r="CW205" s="197"/>
      <c r="CX205" s="197"/>
      <c r="CY205" s="197"/>
      <c r="CZ205" s="197"/>
      <c r="DA205" s="197"/>
      <c r="DB205" s="197"/>
      <c r="DC205" s="197"/>
      <c r="DD205" s="197"/>
      <c r="DE205" s="197"/>
      <c r="DF205" s="197"/>
      <c r="DG205" s="197"/>
      <c r="DH205" s="197"/>
      <c r="DI205" s="197"/>
      <c r="DJ205" s="197"/>
      <c r="DK205" s="197"/>
      <c r="DL205" s="197"/>
      <c r="DM205" s="197"/>
      <c r="DN205" s="197"/>
      <c r="DO205" s="197"/>
      <c r="DP205" s="197"/>
      <c r="DQ205" s="197"/>
      <c r="DR205" s="197"/>
      <c r="DS205" s="197"/>
      <c r="DT205" s="197"/>
      <c r="DU205" s="197"/>
      <c r="DV205" s="197"/>
      <c r="DW205" s="197"/>
      <c r="DX205" s="197"/>
      <c r="DY205" s="197"/>
      <c r="DZ205" s="197"/>
      <c r="EA205" s="197"/>
      <c r="EB205" s="197"/>
      <c r="EC205" s="197"/>
      <c r="ED205" s="197"/>
      <c r="EE205" s="197"/>
      <c r="EF205" s="197"/>
      <c r="EG205" s="197"/>
      <c r="EH205" s="197"/>
      <c r="EI205" s="197"/>
      <c r="EJ205" s="197"/>
      <c r="EK205" s="197"/>
      <c r="EL205" s="197"/>
      <c r="EM205" s="197"/>
      <c r="EN205" s="197"/>
      <c r="EO205" s="197"/>
      <c r="EP205" s="197"/>
      <c r="EQ205" s="197"/>
      <c r="ER205" s="197"/>
      <c r="ES205" s="197"/>
      <c r="ET205" s="197"/>
      <c r="EU205" s="197"/>
      <c r="EV205" s="197"/>
      <c r="EW205" s="197"/>
      <c r="EX205" s="197"/>
      <c r="EY205" s="197"/>
      <c r="EZ205" s="197"/>
      <c r="FA205" s="197"/>
      <c r="FB205" s="197"/>
      <c r="FC205" s="197"/>
      <c r="FD205" s="197"/>
      <c r="FE205" s="197"/>
      <c r="FF205" s="197"/>
      <c r="FG205" s="197"/>
      <c r="FH205" s="197"/>
      <c r="FI205" s="197"/>
      <c r="FJ205" s="197"/>
      <c r="FK205" s="197"/>
      <c r="FL205" s="197"/>
      <c r="FM205" s="197"/>
      <c r="FN205" s="197"/>
      <c r="FO205" s="197"/>
      <c r="FP205" s="197"/>
      <c r="FQ205" s="197"/>
      <c r="FR205" s="197"/>
      <c r="FS205" s="197"/>
      <c r="FT205" s="197"/>
      <c r="FU205" s="197"/>
      <c r="FV205" s="197"/>
      <c r="FW205" s="197"/>
      <c r="FX205" s="197"/>
      <c r="FY205" s="197"/>
      <c r="FZ205" s="197"/>
      <c r="GA205" s="197"/>
      <c r="GB205" s="197"/>
      <c r="GC205" s="197"/>
      <c r="GD205" s="197"/>
      <c r="GE205" s="197"/>
      <c r="GF205" s="197"/>
      <c r="GG205" s="197"/>
      <c r="GH205" s="197"/>
      <c r="GI205" s="197"/>
      <c r="GJ205" s="197"/>
      <c r="GK205" s="197"/>
      <c r="GL205" s="197"/>
      <c r="GM205" s="197"/>
      <c r="GN205" s="197"/>
      <c r="GO205" s="197"/>
      <c r="GP205" s="197"/>
      <c r="GQ205" s="197"/>
      <c r="GR205" s="197"/>
      <c r="GS205" s="197"/>
      <c r="GT205" s="197"/>
      <c r="GU205" s="197"/>
      <c r="GV205" s="197"/>
      <c r="GW205" s="197"/>
      <c r="GX205" s="197"/>
      <c r="GY205" s="197"/>
      <c r="GZ205" s="197"/>
      <c r="HA205" s="197"/>
      <c r="HB205" s="197"/>
      <c r="HC205" s="197"/>
      <c r="HD205" s="197"/>
      <c r="HE205" s="197"/>
      <c r="HF205" s="197"/>
      <c r="HG205" s="197"/>
      <c r="HH205" s="197"/>
      <c r="HI205" s="197"/>
      <c r="HJ205" s="197"/>
      <c r="HK205" s="197"/>
      <c r="HL205" s="197"/>
      <c r="HM205" s="197"/>
      <c r="HN205" s="197"/>
      <c r="HO205" s="197"/>
      <c r="HP205" s="197"/>
      <c r="HQ205" s="197"/>
      <c r="HR205" s="197"/>
      <c r="HS205" s="197"/>
      <c r="HT205" s="197"/>
      <c r="HU205" s="197"/>
      <c r="HV205" s="197"/>
      <c r="HW205" s="197"/>
      <c r="HX205" s="197"/>
      <c r="HY205" s="197"/>
      <c r="HZ205" s="197"/>
      <c r="IA205" s="197"/>
      <c r="IB205" s="197"/>
      <c r="IC205" s="197"/>
      <c r="ID205" s="197"/>
      <c r="IE205" s="197"/>
      <c r="IF205" s="197"/>
      <c r="IG205" s="197"/>
      <c r="IH205" s="197"/>
      <c r="II205" s="197"/>
    </row>
    <row r="206" spans="1:243" ht="18" customHeight="1" x14ac:dyDescent="0.2">
      <c r="A206" s="91"/>
      <c r="B206" s="111" t="s">
        <v>702</v>
      </c>
      <c r="C206" s="93" t="s">
        <v>600</v>
      </c>
      <c r="D206" s="125"/>
      <c r="E206" s="140"/>
      <c r="F206" s="126"/>
      <c r="G206" s="113">
        <f>SUM(G207:G208)</f>
        <v>0</v>
      </c>
      <c r="H206" s="95"/>
      <c r="I206" s="95"/>
      <c r="J206" s="96"/>
      <c r="K206" s="96"/>
      <c r="L206" s="91"/>
      <c r="M206" s="91"/>
      <c r="N206" s="91"/>
      <c r="O206" s="91"/>
      <c r="P206" s="91"/>
      <c r="Q206" s="91"/>
      <c r="R206" s="142">
        <f t="shared" si="76"/>
        <v>0</v>
      </c>
      <c r="S206" s="98">
        <v>10878861.600000001</v>
      </c>
      <c r="T206" s="97"/>
      <c r="U206" s="100">
        <f t="shared" si="77"/>
        <v>0</v>
      </c>
      <c r="V206" s="107">
        <f t="shared" si="78"/>
        <v>0</v>
      </c>
      <c r="W206" s="91"/>
      <c r="X206" s="113"/>
      <c r="Y206" s="113"/>
      <c r="Z206" s="113">
        <f>SUM(Z207:Z208)</f>
        <v>9439864</v>
      </c>
      <c r="AA206" s="113"/>
      <c r="AB206" s="113"/>
      <c r="AC206" s="113"/>
      <c r="AD206" s="94">
        <f>G206+Z206+AC206</f>
        <v>9439864</v>
      </c>
    </row>
    <row r="207" spans="1:243" s="41" customFormat="1" ht="15" x14ac:dyDescent="0.2">
      <c r="A207" s="91">
        <v>302001</v>
      </c>
      <c r="B207" s="101" t="s">
        <v>703</v>
      </c>
      <c r="C207" s="102" t="s">
        <v>601</v>
      </c>
      <c r="D207" s="103" t="s">
        <v>11</v>
      </c>
      <c r="E207" s="104"/>
      <c r="F207" s="48">
        <v>117271</v>
      </c>
      <c r="G207" s="106">
        <f t="shared" ref="G207:G208" si="83">ROUND(E207*F207,0)</f>
        <v>0</v>
      </c>
      <c r="H207" s="117"/>
      <c r="I207" s="117"/>
      <c r="J207" s="118"/>
      <c r="K207" s="118"/>
      <c r="L207" s="119"/>
      <c r="M207" s="119"/>
      <c r="N207" s="119"/>
      <c r="O207" s="119"/>
      <c r="P207" s="119"/>
      <c r="Q207" s="119"/>
      <c r="R207" s="97">
        <f t="shared" si="76"/>
        <v>0</v>
      </c>
      <c r="S207" s="120">
        <v>8256303</v>
      </c>
      <c r="T207" s="121"/>
      <c r="U207" s="100">
        <f t="shared" si="77"/>
        <v>0</v>
      </c>
      <c r="V207" s="107">
        <f t="shared" si="78"/>
        <v>0</v>
      </c>
      <c r="W207" s="119"/>
      <c r="X207" s="170">
        <v>63.129999999999995</v>
      </c>
      <c r="Y207" s="144">
        <f>(F207*3.5%)+F207</f>
        <v>121375.485</v>
      </c>
      <c r="Z207" s="106">
        <f t="shared" ref="Z207:Z208" si="84">ROUND(X207*Y207,0)</f>
        <v>7662434</v>
      </c>
      <c r="AA207" s="106"/>
      <c r="AB207" s="132"/>
      <c r="AC207" s="106"/>
      <c r="AD207" s="108">
        <f>G207+Z207+AC207</f>
        <v>7662434</v>
      </c>
      <c r="AE207" s="197"/>
      <c r="AF207" s="197"/>
      <c r="AG207" s="197"/>
      <c r="AH207" s="197"/>
      <c r="AI207" s="197"/>
      <c r="AJ207" s="197"/>
      <c r="AK207" s="197"/>
      <c r="AL207" s="197"/>
      <c r="AM207" s="197"/>
      <c r="AN207" s="197"/>
      <c r="AO207" s="197"/>
      <c r="AP207" s="197"/>
      <c r="AQ207" s="197"/>
      <c r="AR207" s="197"/>
      <c r="AS207" s="197"/>
      <c r="AT207" s="197"/>
      <c r="AU207" s="197"/>
      <c r="AV207" s="197"/>
      <c r="AW207" s="197"/>
      <c r="AX207" s="197"/>
      <c r="AY207" s="197"/>
      <c r="AZ207" s="197"/>
      <c r="BA207" s="197"/>
      <c r="BB207" s="197"/>
      <c r="BC207" s="197"/>
      <c r="BD207" s="197"/>
      <c r="BE207" s="197"/>
      <c r="BF207" s="197"/>
      <c r="BG207" s="197"/>
      <c r="BH207" s="197"/>
      <c r="BI207" s="197"/>
      <c r="BJ207" s="197"/>
      <c r="BK207" s="197"/>
      <c r="BL207" s="197"/>
      <c r="BM207" s="197"/>
      <c r="BN207" s="197"/>
      <c r="BO207" s="197"/>
      <c r="BP207" s="197"/>
      <c r="BQ207" s="197"/>
      <c r="BR207" s="197"/>
      <c r="BS207" s="197"/>
      <c r="BT207" s="197"/>
      <c r="BU207" s="197"/>
      <c r="BV207" s="197"/>
      <c r="BW207" s="197"/>
      <c r="BX207" s="197"/>
      <c r="BY207" s="197"/>
      <c r="BZ207" s="197"/>
      <c r="CA207" s="197"/>
      <c r="CB207" s="197"/>
      <c r="CC207" s="197"/>
      <c r="CD207" s="197"/>
      <c r="CE207" s="197"/>
      <c r="CF207" s="197"/>
      <c r="CG207" s="197"/>
      <c r="CH207" s="197"/>
      <c r="CI207" s="197"/>
      <c r="CJ207" s="197"/>
      <c r="CK207" s="197"/>
      <c r="CL207" s="197"/>
      <c r="CM207" s="197"/>
      <c r="CN207" s="197"/>
      <c r="CO207" s="197"/>
      <c r="CP207" s="197"/>
      <c r="CQ207" s="197"/>
      <c r="CR207" s="197"/>
      <c r="CS207" s="197"/>
      <c r="CT207" s="197"/>
      <c r="CU207" s="197"/>
      <c r="CV207" s="197"/>
      <c r="CW207" s="197"/>
      <c r="CX207" s="197"/>
      <c r="CY207" s="197"/>
      <c r="CZ207" s="197"/>
      <c r="DA207" s="197"/>
      <c r="DB207" s="197"/>
      <c r="DC207" s="197"/>
      <c r="DD207" s="197"/>
      <c r="DE207" s="197"/>
      <c r="DF207" s="197"/>
      <c r="DG207" s="197"/>
      <c r="DH207" s="197"/>
      <c r="DI207" s="197"/>
      <c r="DJ207" s="197"/>
      <c r="DK207" s="197"/>
      <c r="DL207" s="197"/>
      <c r="DM207" s="197"/>
      <c r="DN207" s="197"/>
      <c r="DO207" s="197"/>
      <c r="DP207" s="197"/>
      <c r="DQ207" s="197"/>
      <c r="DR207" s="197"/>
      <c r="DS207" s="197"/>
      <c r="DT207" s="197"/>
      <c r="DU207" s="197"/>
      <c r="DV207" s="197"/>
      <c r="DW207" s="197"/>
      <c r="DX207" s="197"/>
      <c r="DY207" s="197"/>
      <c r="DZ207" s="197"/>
      <c r="EA207" s="197"/>
      <c r="EB207" s="197"/>
      <c r="EC207" s="197"/>
      <c r="ED207" s="197"/>
      <c r="EE207" s="197"/>
      <c r="EF207" s="197"/>
      <c r="EG207" s="197"/>
      <c r="EH207" s="197"/>
      <c r="EI207" s="197"/>
      <c r="EJ207" s="197"/>
      <c r="EK207" s="197"/>
      <c r="EL207" s="197"/>
      <c r="EM207" s="197"/>
      <c r="EN207" s="197"/>
      <c r="EO207" s="197"/>
      <c r="EP207" s="197"/>
      <c r="EQ207" s="197"/>
      <c r="ER207" s="197"/>
      <c r="ES207" s="197"/>
      <c r="ET207" s="197"/>
      <c r="EU207" s="197"/>
      <c r="EV207" s="197"/>
      <c r="EW207" s="197"/>
      <c r="EX207" s="197"/>
      <c r="EY207" s="197"/>
      <c r="EZ207" s="197"/>
      <c r="FA207" s="197"/>
      <c r="FB207" s="197"/>
      <c r="FC207" s="197"/>
      <c r="FD207" s="197"/>
      <c r="FE207" s="197"/>
      <c r="FF207" s="197"/>
      <c r="FG207" s="197"/>
      <c r="FH207" s="197"/>
      <c r="FI207" s="197"/>
      <c r="FJ207" s="197"/>
      <c r="FK207" s="197"/>
      <c r="FL207" s="197"/>
      <c r="FM207" s="197"/>
      <c r="FN207" s="197"/>
      <c r="FO207" s="197"/>
      <c r="FP207" s="197"/>
      <c r="FQ207" s="197"/>
      <c r="FR207" s="197"/>
      <c r="FS207" s="197"/>
      <c r="FT207" s="197"/>
      <c r="FU207" s="197"/>
      <c r="FV207" s="197"/>
      <c r="FW207" s="197"/>
      <c r="FX207" s="197"/>
      <c r="FY207" s="197"/>
      <c r="FZ207" s="197"/>
      <c r="GA207" s="197"/>
      <c r="GB207" s="197"/>
      <c r="GC207" s="197"/>
      <c r="GD207" s="197"/>
      <c r="GE207" s="197"/>
      <c r="GF207" s="197"/>
      <c r="GG207" s="197"/>
      <c r="GH207" s="197"/>
      <c r="GI207" s="197"/>
      <c r="GJ207" s="197"/>
      <c r="GK207" s="197"/>
      <c r="GL207" s="197"/>
      <c r="GM207" s="197"/>
      <c r="GN207" s="197"/>
      <c r="GO207" s="197"/>
      <c r="GP207" s="197"/>
      <c r="GQ207" s="197"/>
      <c r="GR207" s="197"/>
      <c r="GS207" s="197"/>
      <c r="GT207" s="197"/>
      <c r="GU207" s="197"/>
      <c r="GV207" s="197"/>
      <c r="GW207" s="197"/>
      <c r="GX207" s="197"/>
      <c r="GY207" s="197"/>
      <c r="GZ207" s="197"/>
      <c r="HA207" s="197"/>
      <c r="HB207" s="197"/>
      <c r="HC207" s="197"/>
      <c r="HD207" s="197"/>
      <c r="HE207" s="197"/>
      <c r="HF207" s="197"/>
      <c r="HG207" s="197"/>
      <c r="HH207" s="197"/>
      <c r="HI207" s="197"/>
      <c r="HJ207" s="197"/>
      <c r="HK207" s="197"/>
      <c r="HL207" s="197"/>
      <c r="HM207" s="197"/>
      <c r="HN207" s="197"/>
      <c r="HO207" s="197"/>
      <c r="HP207" s="197"/>
      <c r="HQ207" s="197"/>
      <c r="HR207" s="197"/>
      <c r="HS207" s="197"/>
      <c r="HT207" s="197"/>
      <c r="HU207" s="197"/>
      <c r="HV207" s="197"/>
      <c r="HW207" s="197"/>
      <c r="HX207" s="197"/>
      <c r="HY207" s="197"/>
      <c r="HZ207" s="197"/>
      <c r="IA207" s="197"/>
      <c r="IB207" s="197"/>
      <c r="IC207" s="197"/>
      <c r="ID207" s="197"/>
      <c r="IE207" s="197"/>
      <c r="IF207" s="197"/>
      <c r="IG207" s="197"/>
      <c r="IH207" s="197"/>
      <c r="II207" s="197"/>
    </row>
    <row r="208" spans="1:243" s="41" customFormat="1" ht="15" x14ac:dyDescent="0.2">
      <c r="A208" s="91"/>
      <c r="B208" s="101" t="s">
        <v>704</v>
      </c>
      <c r="C208" s="102" t="s">
        <v>605</v>
      </c>
      <c r="D208" s="103" t="s">
        <v>8</v>
      </c>
      <c r="E208" s="104"/>
      <c r="F208" s="48">
        <v>392083</v>
      </c>
      <c r="G208" s="106">
        <f t="shared" si="83"/>
        <v>0</v>
      </c>
      <c r="H208" s="117"/>
      <c r="I208" s="117"/>
      <c r="J208" s="118"/>
      <c r="K208" s="118"/>
      <c r="L208" s="119"/>
      <c r="M208" s="119"/>
      <c r="N208" s="119"/>
      <c r="O208" s="119"/>
      <c r="P208" s="119"/>
      <c r="Q208" s="119"/>
      <c r="R208" s="97">
        <f t="shared" si="76"/>
        <v>0</v>
      </c>
      <c r="S208" s="120">
        <v>2622558.5999999996</v>
      </c>
      <c r="T208" s="121"/>
      <c r="U208" s="100">
        <f t="shared" si="77"/>
        <v>0</v>
      </c>
      <c r="V208" s="107">
        <f t="shared" si="78"/>
        <v>0</v>
      </c>
      <c r="W208" s="119"/>
      <c r="X208" s="170">
        <v>4.38</v>
      </c>
      <c r="Y208" s="144">
        <f>(F208*3.5%)+F208</f>
        <v>405805.90500000003</v>
      </c>
      <c r="Z208" s="106">
        <f t="shared" si="84"/>
        <v>1777430</v>
      </c>
      <c r="AA208" s="106"/>
      <c r="AB208" s="132"/>
      <c r="AC208" s="106"/>
      <c r="AD208" s="108">
        <f>G208+Z208+AC208</f>
        <v>1777430</v>
      </c>
      <c r="AE208" s="197"/>
      <c r="AF208" s="197"/>
      <c r="AG208" s="197"/>
      <c r="AH208" s="197"/>
      <c r="AI208" s="197"/>
      <c r="AJ208" s="197"/>
      <c r="AK208" s="197"/>
      <c r="AL208" s="197"/>
      <c r="AM208" s="197"/>
      <c r="AN208" s="197"/>
      <c r="AO208" s="197"/>
      <c r="AP208" s="197"/>
      <c r="AQ208" s="197"/>
      <c r="AR208" s="197"/>
      <c r="AS208" s="197"/>
      <c r="AT208" s="197"/>
      <c r="AU208" s="197"/>
      <c r="AV208" s="197"/>
      <c r="AW208" s="197"/>
      <c r="AX208" s="197"/>
      <c r="AY208" s="197"/>
      <c r="AZ208" s="197"/>
      <c r="BA208" s="197"/>
      <c r="BB208" s="197"/>
      <c r="BC208" s="197"/>
      <c r="BD208" s="197"/>
      <c r="BE208" s="197"/>
      <c r="BF208" s="197"/>
      <c r="BG208" s="197"/>
      <c r="BH208" s="197"/>
      <c r="BI208" s="197"/>
      <c r="BJ208" s="197"/>
      <c r="BK208" s="197"/>
      <c r="BL208" s="197"/>
      <c r="BM208" s="197"/>
      <c r="BN208" s="197"/>
      <c r="BO208" s="197"/>
      <c r="BP208" s="197"/>
      <c r="BQ208" s="197"/>
      <c r="BR208" s="197"/>
      <c r="BS208" s="197"/>
      <c r="BT208" s="197"/>
      <c r="BU208" s="197"/>
      <c r="BV208" s="197"/>
      <c r="BW208" s="197"/>
      <c r="BX208" s="197"/>
      <c r="BY208" s="197"/>
      <c r="BZ208" s="197"/>
      <c r="CA208" s="197"/>
      <c r="CB208" s="197"/>
      <c r="CC208" s="197"/>
      <c r="CD208" s="197"/>
      <c r="CE208" s="197"/>
      <c r="CF208" s="197"/>
      <c r="CG208" s="197"/>
      <c r="CH208" s="197"/>
      <c r="CI208" s="197"/>
      <c r="CJ208" s="197"/>
      <c r="CK208" s="197"/>
      <c r="CL208" s="197"/>
      <c r="CM208" s="197"/>
      <c r="CN208" s="197"/>
      <c r="CO208" s="197"/>
      <c r="CP208" s="197"/>
      <c r="CQ208" s="197"/>
      <c r="CR208" s="197"/>
      <c r="CS208" s="197"/>
      <c r="CT208" s="197"/>
      <c r="CU208" s="197"/>
      <c r="CV208" s="197"/>
      <c r="CW208" s="197"/>
      <c r="CX208" s="197"/>
      <c r="CY208" s="197"/>
      <c r="CZ208" s="197"/>
      <c r="DA208" s="197"/>
      <c r="DB208" s="197"/>
      <c r="DC208" s="197"/>
      <c r="DD208" s="197"/>
      <c r="DE208" s="197"/>
      <c r="DF208" s="197"/>
      <c r="DG208" s="197"/>
      <c r="DH208" s="197"/>
      <c r="DI208" s="197"/>
      <c r="DJ208" s="197"/>
      <c r="DK208" s="197"/>
      <c r="DL208" s="197"/>
      <c r="DM208" s="197"/>
      <c r="DN208" s="197"/>
      <c r="DO208" s="197"/>
      <c r="DP208" s="197"/>
      <c r="DQ208" s="197"/>
      <c r="DR208" s="197"/>
      <c r="DS208" s="197"/>
      <c r="DT208" s="197"/>
      <c r="DU208" s="197"/>
      <c r="DV208" s="197"/>
      <c r="DW208" s="197"/>
      <c r="DX208" s="197"/>
      <c r="DY208" s="197"/>
      <c r="DZ208" s="197"/>
      <c r="EA208" s="197"/>
      <c r="EB208" s="197"/>
      <c r="EC208" s="197"/>
      <c r="ED208" s="197"/>
      <c r="EE208" s="197"/>
      <c r="EF208" s="197"/>
      <c r="EG208" s="197"/>
      <c r="EH208" s="197"/>
      <c r="EI208" s="197"/>
      <c r="EJ208" s="197"/>
      <c r="EK208" s="197"/>
      <c r="EL208" s="197"/>
      <c r="EM208" s="197"/>
      <c r="EN208" s="197"/>
      <c r="EO208" s="197"/>
      <c r="EP208" s="197"/>
      <c r="EQ208" s="197"/>
      <c r="ER208" s="197"/>
      <c r="ES208" s="197"/>
      <c r="ET208" s="197"/>
      <c r="EU208" s="197"/>
      <c r="EV208" s="197"/>
      <c r="EW208" s="197"/>
      <c r="EX208" s="197"/>
      <c r="EY208" s="197"/>
      <c r="EZ208" s="197"/>
      <c r="FA208" s="197"/>
      <c r="FB208" s="197"/>
      <c r="FC208" s="197"/>
      <c r="FD208" s="197"/>
      <c r="FE208" s="197"/>
      <c r="FF208" s="197"/>
      <c r="FG208" s="197"/>
      <c r="FH208" s="197"/>
      <c r="FI208" s="197"/>
      <c r="FJ208" s="197"/>
      <c r="FK208" s="197"/>
      <c r="FL208" s="197"/>
      <c r="FM208" s="197"/>
      <c r="FN208" s="197"/>
      <c r="FO208" s="197"/>
      <c r="FP208" s="197"/>
      <c r="FQ208" s="197"/>
      <c r="FR208" s="197"/>
      <c r="FS208" s="197"/>
      <c r="FT208" s="197"/>
      <c r="FU208" s="197"/>
      <c r="FV208" s="197"/>
      <c r="FW208" s="197"/>
      <c r="FX208" s="197"/>
      <c r="FY208" s="197"/>
      <c r="FZ208" s="197"/>
      <c r="GA208" s="197"/>
      <c r="GB208" s="197"/>
      <c r="GC208" s="197"/>
      <c r="GD208" s="197"/>
      <c r="GE208" s="197"/>
      <c r="GF208" s="197"/>
      <c r="GG208" s="197"/>
      <c r="GH208" s="197"/>
      <c r="GI208" s="197"/>
      <c r="GJ208" s="197"/>
      <c r="GK208" s="197"/>
      <c r="GL208" s="197"/>
      <c r="GM208" s="197"/>
      <c r="GN208" s="197"/>
      <c r="GO208" s="197"/>
      <c r="GP208" s="197"/>
      <c r="GQ208" s="197"/>
      <c r="GR208" s="197"/>
      <c r="GS208" s="197"/>
      <c r="GT208" s="197"/>
      <c r="GU208" s="197"/>
      <c r="GV208" s="197"/>
      <c r="GW208" s="197"/>
      <c r="GX208" s="197"/>
      <c r="GY208" s="197"/>
      <c r="GZ208" s="197"/>
      <c r="HA208" s="197"/>
      <c r="HB208" s="197"/>
      <c r="HC208" s="197"/>
      <c r="HD208" s="197"/>
      <c r="HE208" s="197"/>
      <c r="HF208" s="197"/>
      <c r="HG208" s="197"/>
      <c r="HH208" s="197"/>
      <c r="HI208" s="197"/>
      <c r="HJ208" s="197"/>
      <c r="HK208" s="197"/>
      <c r="HL208" s="197"/>
      <c r="HM208" s="197"/>
      <c r="HN208" s="197"/>
      <c r="HO208" s="197"/>
      <c r="HP208" s="197"/>
      <c r="HQ208" s="197"/>
      <c r="HR208" s="197"/>
      <c r="HS208" s="197"/>
      <c r="HT208" s="197"/>
      <c r="HU208" s="197"/>
      <c r="HV208" s="197"/>
      <c r="HW208" s="197"/>
      <c r="HX208" s="197"/>
      <c r="HY208" s="197"/>
      <c r="HZ208" s="197"/>
      <c r="IA208" s="197"/>
      <c r="IB208" s="197"/>
      <c r="IC208" s="197"/>
      <c r="ID208" s="197"/>
      <c r="IE208" s="197"/>
      <c r="IF208" s="197"/>
      <c r="IG208" s="197"/>
      <c r="IH208" s="197"/>
      <c r="II208" s="197"/>
    </row>
    <row r="209" spans="1:30" x14ac:dyDescent="0.2">
      <c r="A209" s="91"/>
      <c r="B209" s="103"/>
      <c r="C209" s="207" t="s">
        <v>1059</v>
      </c>
      <c r="D209" s="207"/>
      <c r="E209" s="207"/>
      <c r="F209" s="208"/>
      <c r="G209" s="123">
        <f>SUM(G186:Q208)/2</f>
        <v>0</v>
      </c>
      <c r="H209" s="95"/>
      <c r="I209" s="95"/>
      <c r="J209" s="96"/>
      <c r="K209" s="96"/>
      <c r="L209" s="91"/>
      <c r="M209" s="91"/>
      <c r="N209" s="91"/>
      <c r="O209" s="91"/>
      <c r="P209" s="91"/>
      <c r="Q209" s="91"/>
      <c r="R209" s="121">
        <f t="shared" si="76"/>
        <v>0</v>
      </c>
      <c r="S209" s="98">
        <v>480798666</v>
      </c>
      <c r="T209" s="97"/>
      <c r="U209" s="100">
        <f t="shared" si="77"/>
        <v>0</v>
      </c>
      <c r="V209" s="107">
        <f t="shared" si="78"/>
        <v>0</v>
      </c>
      <c r="W209" s="91"/>
      <c r="X209" s="123"/>
      <c r="Y209" s="123"/>
      <c r="Z209" s="123">
        <f>SUM(Z186:Z208)/2</f>
        <v>37101335</v>
      </c>
      <c r="AA209" s="123"/>
      <c r="AB209" s="123"/>
      <c r="AC209" s="123">
        <f>SUM(AC186:AC208)/2</f>
        <v>313851589</v>
      </c>
      <c r="AD209" s="123">
        <f>SUM(AD186:AD208)/2</f>
        <v>350952924</v>
      </c>
    </row>
    <row r="210" spans="1:30" x14ac:dyDescent="0.2">
      <c r="A210" s="91"/>
      <c r="B210" s="103"/>
      <c r="C210" s="102"/>
      <c r="D210" s="103"/>
      <c r="E210" s="102"/>
      <c r="F210" s="106"/>
      <c r="G210" s="110"/>
      <c r="H210" s="95"/>
      <c r="I210" s="95"/>
      <c r="J210" s="96"/>
      <c r="K210" s="96"/>
      <c r="L210" s="91"/>
      <c r="M210" s="91"/>
      <c r="N210" s="91"/>
      <c r="O210" s="91"/>
      <c r="P210" s="91"/>
      <c r="Q210" s="91"/>
      <c r="R210" s="97">
        <f t="shared" si="76"/>
        <v>0</v>
      </c>
      <c r="S210" s="98">
        <v>0</v>
      </c>
      <c r="T210" s="97"/>
      <c r="U210" s="100">
        <f t="shared" si="77"/>
        <v>0</v>
      </c>
      <c r="V210" s="107">
        <f t="shared" si="78"/>
        <v>0</v>
      </c>
      <c r="W210" s="91"/>
      <c r="X210" s="91"/>
      <c r="Y210" s="91"/>
      <c r="Z210" s="91"/>
      <c r="AA210" s="91"/>
      <c r="AB210" s="91"/>
      <c r="AC210" s="129"/>
      <c r="AD210" s="129"/>
    </row>
    <row r="211" spans="1:30" ht="30" customHeight="1" x14ac:dyDescent="0.2">
      <c r="A211" s="91"/>
      <c r="B211" s="86">
        <v>14</v>
      </c>
      <c r="C211" s="137" t="s">
        <v>80</v>
      </c>
      <c r="D211" s="138"/>
      <c r="E211" s="139"/>
      <c r="F211" s="124"/>
      <c r="G211" s="124"/>
      <c r="H211" s="95"/>
      <c r="I211" s="95"/>
      <c r="J211" s="96"/>
      <c r="K211" s="96"/>
      <c r="L211" s="91"/>
      <c r="M211" s="91"/>
      <c r="N211" s="91"/>
      <c r="O211" s="91"/>
      <c r="P211" s="91"/>
      <c r="Q211" s="91"/>
      <c r="R211" s="97">
        <f t="shared" si="76"/>
        <v>0</v>
      </c>
      <c r="S211" s="98">
        <v>0</v>
      </c>
      <c r="T211" s="97"/>
      <c r="U211" s="100">
        <f t="shared" si="77"/>
        <v>0</v>
      </c>
      <c r="V211" s="107">
        <f t="shared" si="78"/>
        <v>0</v>
      </c>
      <c r="W211" s="91"/>
      <c r="X211" s="124"/>
      <c r="Y211" s="124"/>
      <c r="Z211" s="124"/>
      <c r="AA211" s="124"/>
      <c r="AB211" s="124"/>
      <c r="AC211" s="124"/>
      <c r="AD211" s="124"/>
    </row>
    <row r="212" spans="1:30" ht="15" x14ac:dyDescent="0.2">
      <c r="A212" s="91"/>
      <c r="B212" s="111" t="s">
        <v>132</v>
      </c>
      <c r="C212" s="93" t="s">
        <v>82</v>
      </c>
      <c r="D212" s="125"/>
      <c r="E212" s="128"/>
      <c r="F212" s="126"/>
      <c r="G212" s="94">
        <f>SUM(G213:G226)</f>
        <v>0</v>
      </c>
      <c r="H212" s="95"/>
      <c r="I212" s="95"/>
      <c r="J212" s="96"/>
      <c r="K212" s="96"/>
      <c r="L212" s="91"/>
      <c r="M212" s="91"/>
      <c r="N212" s="91"/>
      <c r="O212" s="91"/>
      <c r="P212" s="91"/>
      <c r="Q212" s="91"/>
      <c r="R212" s="97">
        <f t="shared" si="76"/>
        <v>0</v>
      </c>
      <c r="S212" s="98">
        <v>31121452.799999997</v>
      </c>
      <c r="T212" s="97"/>
      <c r="U212" s="100">
        <f t="shared" si="77"/>
        <v>0</v>
      </c>
      <c r="V212" s="107"/>
      <c r="W212" s="91"/>
      <c r="X212" s="94"/>
      <c r="Y212" s="94"/>
      <c r="Z212" s="94">
        <f>SUM(Z213:Z226)</f>
        <v>32878203</v>
      </c>
      <c r="AA212" s="94"/>
      <c r="AB212" s="94"/>
      <c r="AC212" s="94"/>
      <c r="AD212" s="94">
        <f>G212+Z212+AC212</f>
        <v>32878203</v>
      </c>
    </row>
    <row r="213" spans="1:30" ht="15" x14ac:dyDescent="0.2">
      <c r="A213" s="91">
        <v>110305</v>
      </c>
      <c r="B213" s="101" t="s">
        <v>705</v>
      </c>
      <c r="C213" s="102" t="s">
        <v>842</v>
      </c>
      <c r="D213" s="103" t="s">
        <v>11</v>
      </c>
      <c r="E213" s="104"/>
      <c r="F213" s="48">
        <v>81056</v>
      </c>
      <c r="G213" s="106">
        <f t="shared" ref="G213:G267" si="85">F213*E213</f>
        <v>0</v>
      </c>
      <c r="H213" s="95"/>
      <c r="I213" s="95"/>
      <c r="J213" s="96"/>
      <c r="K213" s="96"/>
      <c r="L213" s="91"/>
      <c r="M213" s="91"/>
      <c r="N213" s="91"/>
      <c r="O213" s="91"/>
      <c r="P213" s="91"/>
      <c r="Q213" s="91"/>
      <c r="R213" s="97">
        <f t="shared" si="76"/>
        <v>0</v>
      </c>
      <c r="S213" s="98">
        <v>4152918.5999999996</v>
      </c>
      <c r="T213" s="97"/>
      <c r="U213" s="100">
        <f t="shared" si="77"/>
        <v>0</v>
      </c>
      <c r="V213" s="107">
        <f t="shared" si="78"/>
        <v>0</v>
      </c>
      <c r="W213" s="91"/>
      <c r="X213" s="170">
        <v>36</v>
      </c>
      <c r="Y213" s="144">
        <f t="shared" ref="Y213:Y226" si="86">(F213*3.5%)+F213</f>
        <v>83892.96</v>
      </c>
      <c r="Z213" s="106">
        <f t="shared" ref="Z213:Z226" si="87">ROUND(X213*Y213,0)</f>
        <v>3020147</v>
      </c>
      <c r="AA213" s="106"/>
      <c r="AB213" s="106"/>
      <c r="AC213" s="106"/>
      <c r="AD213" s="108">
        <f t="shared" ref="AD213:AD226" si="88">G213+Z213+AC213</f>
        <v>3020147</v>
      </c>
    </row>
    <row r="214" spans="1:30" ht="15" x14ac:dyDescent="0.2">
      <c r="A214" s="91">
        <v>110303</v>
      </c>
      <c r="B214" s="101" t="s">
        <v>706</v>
      </c>
      <c r="C214" s="102" t="s">
        <v>843</v>
      </c>
      <c r="D214" s="103" t="s">
        <v>11</v>
      </c>
      <c r="E214" s="104"/>
      <c r="F214" s="48">
        <v>42135</v>
      </c>
      <c r="G214" s="106">
        <f t="shared" si="85"/>
        <v>0</v>
      </c>
      <c r="H214" s="95"/>
      <c r="I214" s="95"/>
      <c r="J214" s="96"/>
      <c r="K214" s="96"/>
      <c r="L214" s="91"/>
      <c r="M214" s="91"/>
      <c r="N214" s="91"/>
      <c r="O214" s="91"/>
      <c r="P214" s="91"/>
      <c r="Q214" s="91"/>
      <c r="R214" s="97">
        <f t="shared" si="76"/>
        <v>0</v>
      </c>
      <c r="S214" s="98">
        <v>12659089.050000001</v>
      </c>
      <c r="T214" s="97"/>
      <c r="U214" s="100">
        <f t="shared" si="77"/>
        <v>0</v>
      </c>
      <c r="V214" s="107">
        <f t="shared" si="78"/>
        <v>0</v>
      </c>
      <c r="W214" s="91"/>
      <c r="X214" s="170">
        <v>183</v>
      </c>
      <c r="Y214" s="144">
        <f t="shared" si="86"/>
        <v>43609.724999999999</v>
      </c>
      <c r="Z214" s="106">
        <f t="shared" si="87"/>
        <v>7980580</v>
      </c>
      <c r="AA214" s="106"/>
      <c r="AB214" s="106"/>
      <c r="AC214" s="106"/>
      <c r="AD214" s="108">
        <f t="shared" si="88"/>
        <v>7980580</v>
      </c>
    </row>
    <row r="215" spans="1:30" ht="15" x14ac:dyDescent="0.2">
      <c r="A215" s="91">
        <v>110301</v>
      </c>
      <c r="B215" s="101" t="s">
        <v>707</v>
      </c>
      <c r="C215" s="102" t="s">
        <v>844</v>
      </c>
      <c r="D215" s="103" t="s">
        <v>11</v>
      </c>
      <c r="E215" s="104"/>
      <c r="F215" s="48">
        <v>25189</v>
      </c>
      <c r="G215" s="106">
        <f t="shared" si="85"/>
        <v>0</v>
      </c>
      <c r="H215" s="95"/>
      <c r="I215" s="95"/>
      <c r="J215" s="96"/>
      <c r="K215" s="96"/>
      <c r="L215" s="91"/>
      <c r="M215" s="91"/>
      <c r="N215" s="91"/>
      <c r="O215" s="91"/>
      <c r="P215" s="91"/>
      <c r="Q215" s="91"/>
      <c r="R215" s="97">
        <f t="shared" si="76"/>
        <v>0</v>
      </c>
      <c r="S215" s="98">
        <v>4035679.2</v>
      </c>
      <c r="T215" s="97"/>
      <c r="U215" s="100">
        <f t="shared" si="77"/>
        <v>0</v>
      </c>
      <c r="V215" s="107">
        <f t="shared" si="78"/>
        <v>0</v>
      </c>
      <c r="W215" s="91"/>
      <c r="X215" s="170">
        <v>112</v>
      </c>
      <c r="Y215" s="144">
        <f t="shared" si="86"/>
        <v>26070.615000000002</v>
      </c>
      <c r="Z215" s="106">
        <f t="shared" si="87"/>
        <v>2919909</v>
      </c>
      <c r="AA215" s="106"/>
      <c r="AB215" s="106"/>
      <c r="AC215" s="106"/>
      <c r="AD215" s="108">
        <f t="shared" si="88"/>
        <v>2919909</v>
      </c>
    </row>
    <row r="216" spans="1:30" ht="15" x14ac:dyDescent="0.2">
      <c r="A216" s="91">
        <v>150313</v>
      </c>
      <c r="B216" s="101" t="s">
        <v>708</v>
      </c>
      <c r="C216" s="102" t="s">
        <v>845</v>
      </c>
      <c r="D216" s="103" t="s">
        <v>5</v>
      </c>
      <c r="E216" s="104"/>
      <c r="F216" s="48">
        <v>21598</v>
      </c>
      <c r="G216" s="106">
        <f t="shared" si="85"/>
        <v>0</v>
      </c>
      <c r="H216" s="95"/>
      <c r="I216" s="95"/>
      <c r="J216" s="96"/>
      <c r="K216" s="96"/>
      <c r="L216" s="91"/>
      <c r="M216" s="91"/>
      <c r="N216" s="91"/>
      <c r="O216" s="91"/>
      <c r="P216" s="91"/>
      <c r="Q216" s="91"/>
      <c r="R216" s="97">
        <f t="shared" si="76"/>
        <v>0</v>
      </c>
      <c r="S216" s="98">
        <v>894261.60000000009</v>
      </c>
      <c r="T216" s="97"/>
      <c r="U216" s="100">
        <f t="shared" si="77"/>
        <v>0</v>
      </c>
      <c r="V216" s="107">
        <f t="shared" si="78"/>
        <v>0</v>
      </c>
      <c r="W216" s="91"/>
      <c r="X216" s="170">
        <v>38</v>
      </c>
      <c r="Y216" s="144">
        <f t="shared" si="86"/>
        <v>22353.93</v>
      </c>
      <c r="Z216" s="106">
        <f t="shared" si="87"/>
        <v>849449</v>
      </c>
      <c r="AA216" s="106"/>
      <c r="AB216" s="106"/>
      <c r="AC216" s="106"/>
      <c r="AD216" s="108">
        <f t="shared" si="88"/>
        <v>849449</v>
      </c>
    </row>
    <row r="217" spans="1:30" ht="15" x14ac:dyDescent="0.2">
      <c r="A217" s="91">
        <v>150310</v>
      </c>
      <c r="B217" s="101" t="s">
        <v>709</v>
      </c>
      <c r="C217" s="102" t="s">
        <v>846</v>
      </c>
      <c r="D217" s="103" t="s">
        <v>5</v>
      </c>
      <c r="E217" s="104"/>
      <c r="F217" s="48">
        <v>23661</v>
      </c>
      <c r="G217" s="106">
        <f t="shared" si="85"/>
        <v>0</v>
      </c>
      <c r="H217" s="95"/>
      <c r="I217" s="95"/>
      <c r="J217" s="96"/>
      <c r="K217" s="96"/>
      <c r="L217" s="91"/>
      <c r="M217" s="91"/>
      <c r="N217" s="91"/>
      <c r="O217" s="91"/>
      <c r="P217" s="91"/>
      <c r="Q217" s="91"/>
      <c r="R217" s="97">
        <f t="shared" si="76"/>
        <v>0</v>
      </c>
      <c r="S217" s="98">
        <v>472440.6</v>
      </c>
      <c r="T217" s="97"/>
      <c r="U217" s="100">
        <f t="shared" si="77"/>
        <v>0</v>
      </c>
      <c r="V217" s="107">
        <f t="shared" si="78"/>
        <v>0</v>
      </c>
      <c r="W217" s="91"/>
      <c r="X217" s="170">
        <v>18</v>
      </c>
      <c r="Y217" s="144">
        <f t="shared" si="86"/>
        <v>24489.134999999998</v>
      </c>
      <c r="Z217" s="106">
        <f t="shared" si="87"/>
        <v>440804</v>
      </c>
      <c r="AA217" s="106"/>
      <c r="AB217" s="106"/>
      <c r="AC217" s="106"/>
      <c r="AD217" s="108">
        <f t="shared" si="88"/>
        <v>440804</v>
      </c>
    </row>
    <row r="218" spans="1:30" ht="15" x14ac:dyDescent="0.2">
      <c r="A218" s="91">
        <v>150312</v>
      </c>
      <c r="B218" s="101" t="s">
        <v>710</v>
      </c>
      <c r="C218" s="102" t="s">
        <v>847</v>
      </c>
      <c r="D218" s="103" t="s">
        <v>5</v>
      </c>
      <c r="E218" s="104"/>
      <c r="F218" s="48">
        <v>8879</v>
      </c>
      <c r="G218" s="106">
        <f t="shared" si="85"/>
        <v>0</v>
      </c>
      <c r="H218" s="95"/>
      <c r="I218" s="95"/>
      <c r="J218" s="96"/>
      <c r="K218" s="96"/>
      <c r="L218" s="91"/>
      <c r="M218" s="91"/>
      <c r="N218" s="91"/>
      <c r="O218" s="91"/>
      <c r="P218" s="91"/>
      <c r="Q218" s="91"/>
      <c r="R218" s="97">
        <f t="shared" si="76"/>
        <v>0</v>
      </c>
      <c r="S218" s="98">
        <v>187504.2</v>
      </c>
      <c r="T218" s="97"/>
      <c r="U218" s="100">
        <f t="shared" si="77"/>
        <v>0</v>
      </c>
      <c r="V218" s="107">
        <f t="shared" si="78"/>
        <v>0</v>
      </c>
      <c r="W218" s="91"/>
      <c r="X218" s="170">
        <v>26</v>
      </c>
      <c r="Y218" s="144">
        <f t="shared" si="86"/>
        <v>9189.7649999999994</v>
      </c>
      <c r="Z218" s="106">
        <f t="shared" si="87"/>
        <v>238934</v>
      </c>
      <c r="AA218" s="106"/>
      <c r="AB218" s="106"/>
      <c r="AC218" s="106"/>
      <c r="AD218" s="108">
        <f t="shared" si="88"/>
        <v>238934</v>
      </c>
    </row>
    <row r="219" spans="1:30" ht="15" x14ac:dyDescent="0.2">
      <c r="A219" s="91">
        <v>150308</v>
      </c>
      <c r="B219" s="101" t="s">
        <v>711</v>
      </c>
      <c r="C219" s="102" t="s">
        <v>848</v>
      </c>
      <c r="D219" s="103" t="s">
        <v>5</v>
      </c>
      <c r="E219" s="104"/>
      <c r="F219" s="48">
        <v>9688</v>
      </c>
      <c r="G219" s="106">
        <f t="shared" si="85"/>
        <v>0</v>
      </c>
      <c r="H219" s="95"/>
      <c r="I219" s="95"/>
      <c r="J219" s="96"/>
      <c r="K219" s="96"/>
      <c r="L219" s="91"/>
      <c r="M219" s="91"/>
      <c r="N219" s="91"/>
      <c r="O219" s="91"/>
      <c r="P219" s="91"/>
      <c r="Q219" s="91"/>
      <c r="R219" s="97">
        <f t="shared" si="76"/>
        <v>0</v>
      </c>
      <c r="S219" s="98">
        <v>189877.5</v>
      </c>
      <c r="T219" s="97"/>
      <c r="U219" s="100">
        <f t="shared" si="77"/>
        <v>0</v>
      </c>
      <c r="V219" s="107">
        <f t="shared" si="78"/>
        <v>0</v>
      </c>
      <c r="W219" s="91"/>
      <c r="X219" s="170">
        <v>29</v>
      </c>
      <c r="Y219" s="144">
        <f t="shared" si="86"/>
        <v>10027.08</v>
      </c>
      <c r="Z219" s="106">
        <f t="shared" si="87"/>
        <v>290785</v>
      </c>
      <c r="AA219" s="106"/>
      <c r="AB219" s="106"/>
      <c r="AC219" s="106"/>
      <c r="AD219" s="108">
        <f t="shared" si="88"/>
        <v>290785</v>
      </c>
    </row>
    <row r="220" spans="1:30" ht="15" x14ac:dyDescent="0.2">
      <c r="A220" s="91">
        <v>150340</v>
      </c>
      <c r="B220" s="101" t="s">
        <v>712</v>
      </c>
      <c r="C220" s="102" t="s">
        <v>849</v>
      </c>
      <c r="D220" s="103" t="s">
        <v>5</v>
      </c>
      <c r="E220" s="104"/>
      <c r="F220" s="48">
        <v>39064</v>
      </c>
      <c r="G220" s="106">
        <f t="shared" si="85"/>
        <v>0</v>
      </c>
      <c r="H220" s="95"/>
      <c r="I220" s="95"/>
      <c r="J220" s="96"/>
      <c r="K220" s="96"/>
      <c r="L220" s="91"/>
      <c r="M220" s="91"/>
      <c r="N220" s="91"/>
      <c r="O220" s="91"/>
      <c r="P220" s="91"/>
      <c r="Q220" s="91"/>
      <c r="R220" s="97">
        <f t="shared" si="76"/>
        <v>0</v>
      </c>
      <c r="S220" s="98">
        <v>835920</v>
      </c>
      <c r="T220" s="97"/>
      <c r="U220" s="100">
        <f t="shared" si="77"/>
        <v>0</v>
      </c>
      <c r="V220" s="107">
        <f t="shared" si="78"/>
        <v>0</v>
      </c>
      <c r="W220" s="91"/>
      <c r="X220" s="170">
        <v>16</v>
      </c>
      <c r="Y220" s="144">
        <f t="shared" si="86"/>
        <v>40431.24</v>
      </c>
      <c r="Z220" s="106">
        <f t="shared" si="87"/>
        <v>646900</v>
      </c>
      <c r="AA220" s="106"/>
      <c r="AB220" s="106"/>
      <c r="AC220" s="106"/>
      <c r="AD220" s="108">
        <f t="shared" si="88"/>
        <v>646900</v>
      </c>
    </row>
    <row r="221" spans="1:30" ht="15" x14ac:dyDescent="0.2">
      <c r="A221" s="91"/>
      <c r="B221" s="101" t="s">
        <v>713</v>
      </c>
      <c r="C221" s="102" t="s">
        <v>403</v>
      </c>
      <c r="D221" s="103" t="s">
        <v>21</v>
      </c>
      <c r="E221" s="104"/>
      <c r="F221" s="48">
        <v>36243</v>
      </c>
      <c r="G221" s="106">
        <f t="shared" si="85"/>
        <v>0</v>
      </c>
      <c r="H221" s="95"/>
      <c r="I221" s="95"/>
      <c r="J221" s="96"/>
      <c r="K221" s="96"/>
      <c r="L221" s="91"/>
      <c r="M221" s="91"/>
      <c r="N221" s="91"/>
      <c r="O221" s="91"/>
      <c r="P221" s="91"/>
      <c r="Q221" s="91"/>
      <c r="R221" s="97">
        <f t="shared" si="76"/>
        <v>0</v>
      </c>
      <c r="S221" s="98">
        <v>1027489.05</v>
      </c>
      <c r="T221" s="97"/>
      <c r="U221" s="100">
        <f t="shared" si="77"/>
        <v>0</v>
      </c>
      <c r="V221" s="107">
        <f t="shared" si="78"/>
        <v>0</v>
      </c>
      <c r="W221" s="91"/>
      <c r="X221" s="170">
        <v>21</v>
      </c>
      <c r="Y221" s="144">
        <f t="shared" si="86"/>
        <v>37511.504999999997</v>
      </c>
      <c r="Z221" s="106">
        <f t="shared" si="87"/>
        <v>787742</v>
      </c>
      <c r="AA221" s="106"/>
      <c r="AB221" s="106"/>
      <c r="AC221" s="106"/>
      <c r="AD221" s="108">
        <f t="shared" si="88"/>
        <v>787742</v>
      </c>
    </row>
    <row r="222" spans="1:30" ht="15" x14ac:dyDescent="0.2">
      <c r="A222" s="91"/>
      <c r="B222" s="101" t="s">
        <v>714</v>
      </c>
      <c r="C222" s="102" t="s">
        <v>404</v>
      </c>
      <c r="D222" s="103" t="s">
        <v>5</v>
      </c>
      <c r="E222" s="104"/>
      <c r="F222" s="48">
        <v>10742</v>
      </c>
      <c r="G222" s="106">
        <f t="shared" si="85"/>
        <v>0</v>
      </c>
      <c r="H222" s="95"/>
      <c r="I222" s="95"/>
      <c r="J222" s="96"/>
      <c r="K222" s="96"/>
      <c r="L222" s="91"/>
      <c r="M222" s="91"/>
      <c r="N222" s="91"/>
      <c r="O222" s="91"/>
      <c r="P222" s="91"/>
      <c r="Q222" s="91"/>
      <c r="R222" s="97">
        <f t="shared" si="76"/>
        <v>0</v>
      </c>
      <c r="S222" s="98">
        <v>304535.69999999995</v>
      </c>
      <c r="T222" s="97"/>
      <c r="U222" s="100">
        <f t="shared" si="77"/>
        <v>0</v>
      </c>
      <c r="V222" s="107">
        <f t="shared" si="78"/>
        <v>0</v>
      </c>
      <c r="W222" s="91"/>
      <c r="X222" s="170">
        <v>21</v>
      </c>
      <c r="Y222" s="144">
        <f t="shared" si="86"/>
        <v>11117.97</v>
      </c>
      <c r="Z222" s="106">
        <f t="shared" si="87"/>
        <v>233477</v>
      </c>
      <c r="AA222" s="106"/>
      <c r="AB222" s="106"/>
      <c r="AC222" s="106"/>
      <c r="AD222" s="108">
        <f t="shared" si="88"/>
        <v>233477</v>
      </c>
    </row>
    <row r="223" spans="1:30" ht="15" x14ac:dyDescent="0.2">
      <c r="A223" s="91">
        <v>150323</v>
      </c>
      <c r="B223" s="101" t="s">
        <v>715</v>
      </c>
      <c r="C223" s="102" t="s">
        <v>850</v>
      </c>
      <c r="D223" s="103" t="s">
        <v>11</v>
      </c>
      <c r="E223" s="104"/>
      <c r="F223" s="48">
        <v>15831</v>
      </c>
      <c r="G223" s="106">
        <f t="shared" si="85"/>
        <v>0</v>
      </c>
      <c r="H223" s="95"/>
      <c r="I223" s="95"/>
      <c r="J223" s="96"/>
      <c r="K223" s="96"/>
      <c r="L223" s="91"/>
      <c r="M223" s="91"/>
      <c r="N223" s="91"/>
      <c r="O223" s="91"/>
      <c r="P223" s="91"/>
      <c r="Q223" s="91"/>
      <c r="R223" s="97">
        <f t="shared" si="76"/>
        <v>0</v>
      </c>
      <c r="S223" s="98">
        <v>600561</v>
      </c>
      <c r="T223" s="97"/>
      <c r="U223" s="100">
        <f t="shared" si="77"/>
        <v>0</v>
      </c>
      <c r="V223" s="107">
        <f t="shared" si="78"/>
        <v>0</v>
      </c>
      <c r="W223" s="91"/>
      <c r="X223" s="170">
        <v>26</v>
      </c>
      <c r="Y223" s="144">
        <f t="shared" si="86"/>
        <v>16385.084999999999</v>
      </c>
      <c r="Z223" s="106">
        <f t="shared" si="87"/>
        <v>426012</v>
      </c>
      <c r="AA223" s="106"/>
      <c r="AB223" s="106"/>
      <c r="AC223" s="106"/>
      <c r="AD223" s="108">
        <f t="shared" si="88"/>
        <v>426012</v>
      </c>
    </row>
    <row r="224" spans="1:30" ht="15" x14ac:dyDescent="0.2">
      <c r="A224" s="91">
        <v>150502</v>
      </c>
      <c r="B224" s="101" t="s">
        <v>1019</v>
      </c>
      <c r="C224" s="102" t="s">
        <v>851</v>
      </c>
      <c r="D224" s="103" t="s">
        <v>11</v>
      </c>
      <c r="E224" s="104"/>
      <c r="F224" s="48">
        <v>47894</v>
      </c>
      <c r="G224" s="106">
        <f t="shared" si="85"/>
        <v>0</v>
      </c>
      <c r="H224" s="95"/>
      <c r="I224" s="95"/>
      <c r="J224" s="96"/>
      <c r="K224" s="96"/>
      <c r="L224" s="91"/>
      <c r="M224" s="91"/>
      <c r="N224" s="91"/>
      <c r="O224" s="91"/>
      <c r="P224" s="91"/>
      <c r="Q224" s="91"/>
      <c r="R224" s="97">
        <f t="shared" si="76"/>
        <v>0</v>
      </c>
      <c r="S224" s="98">
        <v>1459814.3999999999</v>
      </c>
      <c r="T224" s="97"/>
      <c r="U224" s="100">
        <f t="shared" si="77"/>
        <v>0</v>
      </c>
      <c r="V224" s="107">
        <f t="shared" si="78"/>
        <v>0</v>
      </c>
      <c r="W224" s="91"/>
      <c r="X224" s="170">
        <v>32</v>
      </c>
      <c r="Y224" s="144">
        <f t="shared" si="86"/>
        <v>49570.29</v>
      </c>
      <c r="Z224" s="106">
        <f t="shared" si="87"/>
        <v>1586249</v>
      </c>
      <c r="AA224" s="106"/>
      <c r="AB224" s="106"/>
      <c r="AC224" s="106"/>
      <c r="AD224" s="108">
        <f t="shared" si="88"/>
        <v>1586249</v>
      </c>
    </row>
    <row r="225" spans="1:30" ht="15" x14ac:dyDescent="0.2">
      <c r="A225" s="91">
        <v>150506</v>
      </c>
      <c r="B225" s="101" t="s">
        <v>1020</v>
      </c>
      <c r="C225" s="102" t="s">
        <v>852</v>
      </c>
      <c r="D225" s="103" t="s">
        <v>11</v>
      </c>
      <c r="E225" s="104"/>
      <c r="F225" s="48">
        <v>93410</v>
      </c>
      <c r="G225" s="106">
        <f t="shared" si="85"/>
        <v>0</v>
      </c>
      <c r="H225" s="95"/>
      <c r="I225" s="95"/>
      <c r="J225" s="96"/>
      <c r="K225" s="96"/>
      <c r="L225" s="91"/>
      <c r="M225" s="91"/>
      <c r="N225" s="91"/>
      <c r="O225" s="91"/>
      <c r="P225" s="91"/>
      <c r="Q225" s="91"/>
      <c r="R225" s="97">
        <f t="shared" si="76"/>
        <v>0</v>
      </c>
      <c r="S225" s="98">
        <v>2354408.0999999996</v>
      </c>
      <c r="T225" s="97"/>
      <c r="U225" s="100">
        <f t="shared" si="77"/>
        <v>0</v>
      </c>
      <c r="V225" s="107">
        <f t="shared" si="78"/>
        <v>0</v>
      </c>
      <c r="W225" s="91"/>
      <c r="X225" s="170">
        <v>22</v>
      </c>
      <c r="Y225" s="144">
        <f t="shared" si="86"/>
        <v>96679.35</v>
      </c>
      <c r="Z225" s="106">
        <f t="shared" si="87"/>
        <v>2126946</v>
      </c>
      <c r="AA225" s="106"/>
      <c r="AB225" s="106"/>
      <c r="AC225" s="106"/>
      <c r="AD225" s="108">
        <f t="shared" si="88"/>
        <v>2126946</v>
      </c>
    </row>
    <row r="226" spans="1:30" ht="15" x14ac:dyDescent="0.2">
      <c r="A226" s="91">
        <v>20424</v>
      </c>
      <c r="B226" s="101" t="s">
        <v>1021</v>
      </c>
      <c r="C226" s="102" t="s">
        <v>963</v>
      </c>
      <c r="D226" s="103" t="s">
        <v>11</v>
      </c>
      <c r="E226" s="104"/>
      <c r="F226" s="48">
        <v>2736780</v>
      </c>
      <c r="G226" s="106">
        <f t="shared" si="85"/>
        <v>0</v>
      </c>
      <c r="H226" s="95"/>
      <c r="I226" s="95"/>
      <c r="J226" s="96"/>
      <c r="K226" s="96"/>
      <c r="L226" s="91"/>
      <c r="M226" s="91"/>
      <c r="N226" s="91"/>
      <c r="O226" s="91"/>
      <c r="P226" s="91"/>
      <c r="Q226" s="91"/>
      <c r="R226" s="97">
        <f t="shared" si="76"/>
        <v>0</v>
      </c>
      <c r="S226" s="98">
        <v>1946953.7999999998</v>
      </c>
      <c r="T226" s="97"/>
      <c r="U226" s="100">
        <f t="shared" si="77"/>
        <v>0</v>
      </c>
      <c r="V226" s="107">
        <f t="shared" si="78"/>
        <v>0</v>
      </c>
      <c r="W226" s="91"/>
      <c r="X226" s="170">
        <v>4</v>
      </c>
      <c r="Y226" s="144">
        <f t="shared" si="86"/>
        <v>2832567.3</v>
      </c>
      <c r="Z226" s="106">
        <f t="shared" si="87"/>
        <v>11330269</v>
      </c>
      <c r="AA226" s="106"/>
      <c r="AB226" s="106"/>
      <c r="AC226" s="106"/>
      <c r="AD226" s="108">
        <f t="shared" si="88"/>
        <v>11330269</v>
      </c>
    </row>
    <row r="227" spans="1:30" ht="15" x14ac:dyDescent="0.2">
      <c r="A227" s="91"/>
      <c r="B227" s="111" t="s">
        <v>716</v>
      </c>
      <c r="C227" s="93" t="s">
        <v>405</v>
      </c>
      <c r="D227" s="92"/>
      <c r="E227" s="93"/>
      <c r="F227" s="113"/>
      <c r="G227" s="113">
        <f>SUM(G228:G242)</f>
        <v>0</v>
      </c>
      <c r="H227" s="95"/>
      <c r="I227" s="95"/>
      <c r="J227" s="96"/>
      <c r="K227" s="96"/>
      <c r="L227" s="91"/>
      <c r="M227" s="91"/>
      <c r="N227" s="91"/>
      <c r="O227" s="91"/>
      <c r="P227" s="91"/>
      <c r="Q227" s="91"/>
      <c r="R227" s="97">
        <f t="shared" si="76"/>
        <v>0</v>
      </c>
      <c r="S227" s="98">
        <v>33238244.700000003</v>
      </c>
      <c r="T227" s="97"/>
      <c r="U227" s="100">
        <f t="shared" si="77"/>
        <v>0</v>
      </c>
      <c r="V227" s="107"/>
      <c r="W227" s="91"/>
      <c r="X227" s="113"/>
      <c r="Y227" s="113"/>
      <c r="Z227" s="113">
        <f>SUM(Z228:Z242)</f>
        <v>26544923</v>
      </c>
      <c r="AA227" s="113"/>
      <c r="AB227" s="113"/>
      <c r="AC227" s="113"/>
      <c r="AD227" s="94">
        <f>G227+Z227+AC227</f>
        <v>26544923</v>
      </c>
    </row>
    <row r="228" spans="1:30" ht="15" x14ac:dyDescent="0.2">
      <c r="A228" s="91">
        <v>110305</v>
      </c>
      <c r="B228" s="101" t="s">
        <v>717</v>
      </c>
      <c r="C228" s="102" t="s">
        <v>842</v>
      </c>
      <c r="D228" s="103" t="s">
        <v>11</v>
      </c>
      <c r="E228" s="104"/>
      <c r="F228" s="48">
        <v>81056</v>
      </c>
      <c r="G228" s="106">
        <f t="shared" si="85"/>
        <v>0</v>
      </c>
      <c r="H228" s="95"/>
      <c r="I228" s="95"/>
      <c r="J228" s="96"/>
      <c r="K228" s="96"/>
      <c r="L228" s="91"/>
      <c r="M228" s="91"/>
      <c r="N228" s="91"/>
      <c r="O228" s="91"/>
      <c r="P228" s="91"/>
      <c r="Q228" s="91"/>
      <c r="R228" s="97">
        <f t="shared" si="76"/>
        <v>0</v>
      </c>
      <c r="S228" s="98">
        <v>8767272.6000000015</v>
      </c>
      <c r="T228" s="97"/>
      <c r="U228" s="100">
        <f t="shared" si="77"/>
        <v>0</v>
      </c>
      <c r="V228" s="107">
        <f t="shared" si="78"/>
        <v>0</v>
      </c>
      <c r="W228" s="91"/>
      <c r="X228" s="170">
        <v>76</v>
      </c>
      <c r="Y228" s="144">
        <f t="shared" ref="Y228:Y242" si="89">(F228*3.5%)+F228</f>
        <v>83892.96</v>
      </c>
      <c r="Z228" s="106">
        <f t="shared" ref="Z228:Z242" si="90">ROUND(X228*Y228,0)</f>
        <v>6375865</v>
      </c>
      <c r="AA228" s="106"/>
      <c r="AB228" s="106"/>
      <c r="AC228" s="106"/>
      <c r="AD228" s="108">
        <f t="shared" ref="AD228:AD242" si="91">G228+Z228+AC228</f>
        <v>6375865</v>
      </c>
    </row>
    <row r="229" spans="1:30" ht="15" x14ac:dyDescent="0.2">
      <c r="A229" s="91">
        <v>110303</v>
      </c>
      <c r="B229" s="101" t="s">
        <v>718</v>
      </c>
      <c r="C229" s="102" t="s">
        <v>843</v>
      </c>
      <c r="D229" s="103" t="s">
        <v>5</v>
      </c>
      <c r="E229" s="104"/>
      <c r="F229" s="48">
        <v>42135</v>
      </c>
      <c r="G229" s="106">
        <f t="shared" si="85"/>
        <v>0</v>
      </c>
      <c r="H229" s="95"/>
      <c r="I229" s="95"/>
      <c r="J229" s="96"/>
      <c r="K229" s="96"/>
      <c r="L229" s="91"/>
      <c r="M229" s="91"/>
      <c r="N229" s="91"/>
      <c r="O229" s="91"/>
      <c r="P229" s="91"/>
      <c r="Q229" s="91"/>
      <c r="R229" s="97">
        <f t="shared" si="76"/>
        <v>0</v>
      </c>
      <c r="S229" s="98">
        <v>12174861.600000001</v>
      </c>
      <c r="T229" s="97"/>
      <c r="U229" s="100">
        <f t="shared" si="77"/>
        <v>0</v>
      </c>
      <c r="V229" s="107">
        <f t="shared" si="78"/>
        <v>0</v>
      </c>
      <c r="W229" s="91"/>
      <c r="X229" s="170">
        <v>176</v>
      </c>
      <c r="Y229" s="144">
        <f t="shared" si="89"/>
        <v>43609.724999999999</v>
      </c>
      <c r="Z229" s="106">
        <f t="shared" si="90"/>
        <v>7675312</v>
      </c>
      <c r="AA229" s="106"/>
      <c r="AB229" s="106"/>
      <c r="AC229" s="106"/>
      <c r="AD229" s="108">
        <f t="shared" si="91"/>
        <v>7675312</v>
      </c>
    </row>
    <row r="230" spans="1:30" ht="15" x14ac:dyDescent="0.2">
      <c r="A230" s="91">
        <v>110301</v>
      </c>
      <c r="B230" s="101" t="s">
        <v>719</v>
      </c>
      <c r="C230" s="102" t="s">
        <v>844</v>
      </c>
      <c r="D230" s="103" t="s">
        <v>5</v>
      </c>
      <c r="E230" s="104"/>
      <c r="F230" s="48">
        <v>25189</v>
      </c>
      <c r="G230" s="106">
        <f t="shared" si="85"/>
        <v>0</v>
      </c>
      <c r="H230" s="95"/>
      <c r="I230" s="95"/>
      <c r="J230" s="96"/>
      <c r="K230" s="96"/>
      <c r="L230" s="91"/>
      <c r="M230" s="91"/>
      <c r="N230" s="91"/>
      <c r="O230" s="91"/>
      <c r="P230" s="91"/>
      <c r="Q230" s="91"/>
      <c r="R230" s="97">
        <f t="shared" si="76"/>
        <v>0</v>
      </c>
      <c r="S230" s="98">
        <v>6253200</v>
      </c>
      <c r="T230" s="97"/>
      <c r="U230" s="100">
        <f t="shared" si="77"/>
        <v>0</v>
      </c>
      <c r="V230" s="107">
        <f t="shared" si="78"/>
        <v>0</v>
      </c>
      <c r="W230" s="91"/>
      <c r="X230" s="170">
        <v>120</v>
      </c>
      <c r="Y230" s="144">
        <f t="shared" si="89"/>
        <v>26070.615000000002</v>
      </c>
      <c r="Z230" s="106">
        <f t="shared" si="90"/>
        <v>3128474</v>
      </c>
      <c r="AA230" s="106"/>
      <c r="AB230" s="106"/>
      <c r="AC230" s="106"/>
      <c r="AD230" s="108">
        <f t="shared" si="91"/>
        <v>3128474</v>
      </c>
    </row>
    <row r="231" spans="1:30" ht="15" x14ac:dyDescent="0.2">
      <c r="A231" s="91">
        <v>150346</v>
      </c>
      <c r="B231" s="101" t="s">
        <v>720</v>
      </c>
      <c r="C231" s="102" t="s">
        <v>853</v>
      </c>
      <c r="D231" s="103" t="s">
        <v>5</v>
      </c>
      <c r="E231" s="104"/>
      <c r="F231" s="48">
        <v>143265</v>
      </c>
      <c r="G231" s="106">
        <f t="shared" si="85"/>
        <v>0</v>
      </c>
      <c r="H231" s="95"/>
      <c r="I231" s="95"/>
      <c r="J231" s="96"/>
      <c r="K231" s="96"/>
      <c r="L231" s="91"/>
      <c r="M231" s="91"/>
      <c r="N231" s="91"/>
      <c r="O231" s="91"/>
      <c r="P231" s="91"/>
      <c r="Q231" s="91"/>
      <c r="R231" s="97">
        <f t="shared" si="76"/>
        <v>0</v>
      </c>
      <c r="S231" s="98">
        <v>217890</v>
      </c>
      <c r="T231" s="97"/>
      <c r="U231" s="100">
        <f t="shared" si="77"/>
        <v>0</v>
      </c>
      <c r="V231" s="107">
        <f t="shared" si="78"/>
        <v>0</v>
      </c>
      <c r="W231" s="91"/>
      <c r="X231" s="170">
        <v>6</v>
      </c>
      <c r="Y231" s="144">
        <f t="shared" si="89"/>
        <v>148279.27499999999</v>
      </c>
      <c r="Z231" s="106">
        <f t="shared" si="90"/>
        <v>889676</v>
      </c>
      <c r="AA231" s="106"/>
      <c r="AB231" s="106"/>
      <c r="AC231" s="106"/>
      <c r="AD231" s="108">
        <f t="shared" si="91"/>
        <v>889676</v>
      </c>
    </row>
    <row r="232" spans="1:30" ht="15" x14ac:dyDescent="0.2">
      <c r="A232" s="91">
        <v>150350</v>
      </c>
      <c r="B232" s="101" t="s">
        <v>721</v>
      </c>
      <c r="C232" s="102" t="s">
        <v>854</v>
      </c>
      <c r="D232" s="103" t="s">
        <v>5</v>
      </c>
      <c r="E232" s="104"/>
      <c r="F232" s="48">
        <v>67674</v>
      </c>
      <c r="G232" s="106">
        <f t="shared" si="85"/>
        <v>0</v>
      </c>
      <c r="H232" s="95"/>
      <c r="I232" s="95"/>
      <c r="J232" s="96"/>
      <c r="K232" s="96"/>
      <c r="L232" s="91"/>
      <c r="M232" s="91"/>
      <c r="N232" s="91"/>
      <c r="O232" s="91"/>
      <c r="P232" s="91"/>
      <c r="Q232" s="91"/>
      <c r="R232" s="97">
        <f t="shared" si="76"/>
        <v>0</v>
      </c>
      <c r="S232" s="98">
        <v>181440</v>
      </c>
      <c r="T232" s="97"/>
      <c r="U232" s="100">
        <f t="shared" si="77"/>
        <v>0</v>
      </c>
      <c r="V232" s="107">
        <f t="shared" si="78"/>
        <v>0</v>
      </c>
      <c r="W232" s="91"/>
      <c r="X232" s="170">
        <v>6</v>
      </c>
      <c r="Y232" s="144">
        <f t="shared" si="89"/>
        <v>70042.59</v>
      </c>
      <c r="Z232" s="106">
        <f t="shared" si="90"/>
        <v>420256</v>
      </c>
      <c r="AA232" s="106"/>
      <c r="AB232" s="106"/>
      <c r="AC232" s="106"/>
      <c r="AD232" s="108">
        <f t="shared" si="91"/>
        <v>420256</v>
      </c>
    </row>
    <row r="233" spans="1:30" ht="15" x14ac:dyDescent="0.2">
      <c r="A233" s="91">
        <v>150313</v>
      </c>
      <c r="B233" s="101" t="s">
        <v>722</v>
      </c>
      <c r="C233" s="102" t="s">
        <v>845</v>
      </c>
      <c r="D233" s="103" t="s">
        <v>5</v>
      </c>
      <c r="E233" s="104"/>
      <c r="F233" s="48">
        <v>21598</v>
      </c>
      <c r="G233" s="106">
        <f t="shared" si="85"/>
        <v>0</v>
      </c>
      <c r="H233" s="95"/>
      <c r="I233" s="95"/>
      <c r="J233" s="96"/>
      <c r="K233" s="96"/>
      <c r="L233" s="91"/>
      <c r="M233" s="91"/>
      <c r="N233" s="91"/>
      <c r="O233" s="91"/>
      <c r="P233" s="91"/>
      <c r="Q233" s="91"/>
      <c r="R233" s="97">
        <f t="shared" si="76"/>
        <v>0</v>
      </c>
      <c r="S233" s="98">
        <v>329445.90000000002</v>
      </c>
      <c r="T233" s="97"/>
      <c r="U233" s="100">
        <f t="shared" si="77"/>
        <v>0</v>
      </c>
      <c r="V233" s="107">
        <f t="shared" si="78"/>
        <v>0</v>
      </c>
      <c r="W233" s="91"/>
      <c r="X233" s="170">
        <v>14</v>
      </c>
      <c r="Y233" s="144">
        <f t="shared" si="89"/>
        <v>22353.93</v>
      </c>
      <c r="Z233" s="106">
        <f t="shared" si="90"/>
        <v>312955</v>
      </c>
      <c r="AA233" s="106"/>
      <c r="AB233" s="106"/>
      <c r="AC233" s="106"/>
      <c r="AD233" s="108">
        <f t="shared" si="91"/>
        <v>312955</v>
      </c>
    </row>
    <row r="234" spans="1:30" ht="15" x14ac:dyDescent="0.2">
      <c r="A234" s="91">
        <v>150310</v>
      </c>
      <c r="B234" s="101" t="s">
        <v>1022</v>
      </c>
      <c r="C234" s="102" t="s">
        <v>846</v>
      </c>
      <c r="D234" s="103" t="s">
        <v>5</v>
      </c>
      <c r="E234" s="104"/>
      <c r="F234" s="48">
        <v>23661</v>
      </c>
      <c r="G234" s="106">
        <f t="shared" si="85"/>
        <v>0</v>
      </c>
      <c r="H234" s="95"/>
      <c r="I234" s="95"/>
      <c r="J234" s="96"/>
      <c r="K234" s="96"/>
      <c r="L234" s="91"/>
      <c r="M234" s="91"/>
      <c r="N234" s="91"/>
      <c r="O234" s="91"/>
      <c r="P234" s="91"/>
      <c r="Q234" s="91"/>
      <c r="R234" s="97">
        <f t="shared" si="76"/>
        <v>0</v>
      </c>
      <c r="S234" s="98">
        <v>209973.59999999998</v>
      </c>
      <c r="T234" s="97"/>
      <c r="U234" s="100">
        <f t="shared" si="77"/>
        <v>0</v>
      </c>
      <c r="V234" s="107">
        <f t="shared" si="78"/>
        <v>0</v>
      </c>
      <c r="W234" s="91"/>
      <c r="X234" s="170">
        <v>8</v>
      </c>
      <c r="Y234" s="144">
        <f t="shared" si="89"/>
        <v>24489.134999999998</v>
      </c>
      <c r="Z234" s="106">
        <f t="shared" si="90"/>
        <v>195913</v>
      </c>
      <c r="AA234" s="106"/>
      <c r="AB234" s="106"/>
      <c r="AC234" s="106"/>
      <c r="AD234" s="108">
        <f t="shared" si="91"/>
        <v>195913</v>
      </c>
    </row>
    <row r="235" spans="1:30" ht="15" x14ac:dyDescent="0.2">
      <c r="A235" s="91">
        <v>150309</v>
      </c>
      <c r="B235" s="101" t="s">
        <v>1023</v>
      </c>
      <c r="C235" s="102" t="s">
        <v>855</v>
      </c>
      <c r="D235" s="103" t="s">
        <v>5</v>
      </c>
      <c r="E235" s="104"/>
      <c r="F235" s="48">
        <v>15509</v>
      </c>
      <c r="G235" s="106">
        <f t="shared" si="85"/>
        <v>0</v>
      </c>
      <c r="H235" s="95"/>
      <c r="I235" s="95"/>
      <c r="J235" s="96"/>
      <c r="K235" s="96"/>
      <c r="L235" s="91"/>
      <c r="M235" s="91"/>
      <c r="N235" s="91"/>
      <c r="O235" s="91"/>
      <c r="P235" s="91"/>
      <c r="Q235" s="91"/>
      <c r="R235" s="97">
        <f t="shared" si="76"/>
        <v>0</v>
      </c>
      <c r="S235" s="98">
        <v>501795</v>
      </c>
      <c r="T235" s="97"/>
      <c r="U235" s="100">
        <f t="shared" si="77"/>
        <v>0</v>
      </c>
      <c r="V235" s="107">
        <f t="shared" si="78"/>
        <v>0</v>
      </c>
      <c r="W235" s="91"/>
      <c r="X235" s="170">
        <v>21</v>
      </c>
      <c r="Y235" s="144">
        <f t="shared" si="89"/>
        <v>16051.815000000001</v>
      </c>
      <c r="Z235" s="106">
        <f t="shared" si="90"/>
        <v>337088</v>
      </c>
      <c r="AA235" s="106"/>
      <c r="AB235" s="106"/>
      <c r="AC235" s="106"/>
      <c r="AD235" s="108">
        <f t="shared" si="91"/>
        <v>337088</v>
      </c>
    </row>
    <row r="236" spans="1:30" ht="15" x14ac:dyDescent="0.2">
      <c r="A236" s="91">
        <v>150324</v>
      </c>
      <c r="B236" s="101" t="s">
        <v>1024</v>
      </c>
      <c r="C236" s="102" t="s">
        <v>856</v>
      </c>
      <c r="D236" s="103" t="s">
        <v>5</v>
      </c>
      <c r="E236" s="104"/>
      <c r="F236" s="48">
        <v>18654</v>
      </c>
      <c r="G236" s="106">
        <f t="shared" si="85"/>
        <v>0</v>
      </c>
      <c r="H236" s="95"/>
      <c r="I236" s="95"/>
      <c r="J236" s="96"/>
      <c r="K236" s="96"/>
      <c r="L236" s="91"/>
      <c r="M236" s="91"/>
      <c r="N236" s="91"/>
      <c r="O236" s="91"/>
      <c r="P236" s="91"/>
      <c r="Q236" s="91"/>
      <c r="R236" s="97">
        <f t="shared" si="76"/>
        <v>0</v>
      </c>
      <c r="S236" s="98">
        <v>2314529.0999999996</v>
      </c>
      <c r="T236" s="97"/>
      <c r="U236" s="100">
        <f t="shared" si="77"/>
        <v>0</v>
      </c>
      <c r="V236" s="107">
        <f t="shared" si="78"/>
        <v>0</v>
      </c>
      <c r="W236" s="91"/>
      <c r="X236" s="170">
        <v>26</v>
      </c>
      <c r="Y236" s="144">
        <f t="shared" si="89"/>
        <v>19306.89</v>
      </c>
      <c r="Z236" s="106">
        <f t="shared" si="90"/>
        <v>501979</v>
      </c>
      <c r="AA236" s="106"/>
      <c r="AB236" s="106"/>
      <c r="AC236" s="106"/>
      <c r="AD236" s="108">
        <f t="shared" si="91"/>
        <v>501979</v>
      </c>
    </row>
    <row r="237" spans="1:30" ht="15" x14ac:dyDescent="0.2">
      <c r="A237" s="91"/>
      <c r="B237" s="101" t="s">
        <v>1025</v>
      </c>
      <c r="C237" s="102" t="s">
        <v>406</v>
      </c>
      <c r="D237" s="103" t="s">
        <v>5</v>
      </c>
      <c r="E237" s="104"/>
      <c r="F237" s="48">
        <v>48700</v>
      </c>
      <c r="G237" s="106">
        <f t="shared" si="85"/>
        <v>0</v>
      </c>
      <c r="H237" s="95"/>
      <c r="I237" s="95"/>
      <c r="J237" s="96"/>
      <c r="K237" s="96"/>
      <c r="L237" s="91"/>
      <c r="M237" s="91"/>
      <c r="N237" s="91"/>
      <c r="O237" s="91"/>
      <c r="P237" s="91"/>
      <c r="Q237" s="91"/>
      <c r="R237" s="97">
        <f t="shared" si="76"/>
        <v>0</v>
      </c>
      <c r="S237" s="98">
        <v>131490</v>
      </c>
      <c r="T237" s="97"/>
      <c r="U237" s="100">
        <f t="shared" si="77"/>
        <v>0</v>
      </c>
      <c r="V237" s="107">
        <f t="shared" si="78"/>
        <v>0</v>
      </c>
      <c r="W237" s="91"/>
      <c r="X237" s="170">
        <v>2</v>
      </c>
      <c r="Y237" s="144">
        <f t="shared" si="89"/>
        <v>50404.5</v>
      </c>
      <c r="Z237" s="106">
        <f t="shared" si="90"/>
        <v>100809</v>
      </c>
      <c r="AA237" s="106"/>
      <c r="AB237" s="106"/>
      <c r="AC237" s="106"/>
      <c r="AD237" s="108">
        <f t="shared" si="91"/>
        <v>100809</v>
      </c>
    </row>
    <row r="238" spans="1:30" ht="15" x14ac:dyDescent="0.2">
      <c r="A238" s="91"/>
      <c r="B238" s="101" t="s">
        <v>1026</v>
      </c>
      <c r="C238" s="102" t="s">
        <v>402</v>
      </c>
      <c r="D238" s="103" t="s">
        <v>5</v>
      </c>
      <c r="E238" s="104"/>
      <c r="F238" s="48">
        <v>38700</v>
      </c>
      <c r="G238" s="106">
        <f t="shared" si="85"/>
        <v>0</v>
      </c>
      <c r="H238" s="95"/>
      <c r="I238" s="95"/>
      <c r="J238" s="96"/>
      <c r="K238" s="96"/>
      <c r="L238" s="91"/>
      <c r="M238" s="91"/>
      <c r="N238" s="91"/>
      <c r="O238" s="91"/>
      <c r="P238" s="91"/>
      <c r="Q238" s="91"/>
      <c r="R238" s="97">
        <f t="shared" si="76"/>
        <v>0</v>
      </c>
      <c r="S238" s="98">
        <v>104490</v>
      </c>
      <c r="T238" s="97"/>
      <c r="U238" s="100">
        <f t="shared" si="77"/>
        <v>0</v>
      </c>
      <c r="V238" s="107">
        <f t="shared" si="78"/>
        <v>0</v>
      </c>
      <c r="W238" s="91"/>
      <c r="X238" s="170">
        <v>2</v>
      </c>
      <c r="Y238" s="144">
        <f t="shared" si="89"/>
        <v>40054.5</v>
      </c>
      <c r="Z238" s="106">
        <f t="shared" si="90"/>
        <v>80109</v>
      </c>
      <c r="AA238" s="106"/>
      <c r="AB238" s="106"/>
      <c r="AC238" s="106"/>
      <c r="AD238" s="108">
        <f t="shared" si="91"/>
        <v>80109</v>
      </c>
    </row>
    <row r="239" spans="1:30" ht="15" x14ac:dyDescent="0.2">
      <c r="A239" s="91"/>
      <c r="B239" s="101" t="s">
        <v>1027</v>
      </c>
      <c r="C239" s="102" t="s">
        <v>407</v>
      </c>
      <c r="D239" s="103" t="s">
        <v>5</v>
      </c>
      <c r="E239" s="104"/>
      <c r="F239" s="48">
        <v>26500</v>
      </c>
      <c r="G239" s="106">
        <f t="shared" si="85"/>
        <v>0</v>
      </c>
      <c r="H239" s="95"/>
      <c r="I239" s="95"/>
      <c r="J239" s="96"/>
      <c r="K239" s="96"/>
      <c r="L239" s="91"/>
      <c r="M239" s="91"/>
      <c r="N239" s="91"/>
      <c r="O239" s="91"/>
      <c r="P239" s="91"/>
      <c r="Q239" s="91"/>
      <c r="R239" s="97">
        <f t="shared" si="76"/>
        <v>0</v>
      </c>
      <c r="S239" s="98">
        <v>572400</v>
      </c>
      <c r="T239" s="97"/>
      <c r="U239" s="100">
        <f t="shared" si="77"/>
        <v>0</v>
      </c>
      <c r="V239" s="107">
        <f t="shared" si="78"/>
        <v>0</v>
      </c>
      <c r="W239" s="91"/>
      <c r="X239" s="170">
        <v>16</v>
      </c>
      <c r="Y239" s="144">
        <f t="shared" si="89"/>
        <v>27427.5</v>
      </c>
      <c r="Z239" s="106">
        <f t="shared" si="90"/>
        <v>438840</v>
      </c>
      <c r="AA239" s="106"/>
      <c r="AB239" s="106"/>
      <c r="AC239" s="106"/>
      <c r="AD239" s="108">
        <f t="shared" si="91"/>
        <v>438840</v>
      </c>
    </row>
    <row r="240" spans="1:30" ht="15" x14ac:dyDescent="0.2">
      <c r="A240" s="91"/>
      <c r="B240" s="101" t="s">
        <v>1028</v>
      </c>
      <c r="C240" s="102" t="s">
        <v>857</v>
      </c>
      <c r="D240" s="103" t="s">
        <v>5</v>
      </c>
      <c r="E240" s="104"/>
      <c r="F240" s="48">
        <v>18700</v>
      </c>
      <c r="G240" s="106">
        <f t="shared" si="85"/>
        <v>0</v>
      </c>
      <c r="H240" s="95"/>
      <c r="I240" s="95"/>
      <c r="J240" s="96"/>
      <c r="K240" s="96"/>
      <c r="L240" s="91"/>
      <c r="M240" s="91"/>
      <c r="N240" s="91"/>
      <c r="O240" s="91"/>
      <c r="P240" s="91"/>
      <c r="Q240" s="91"/>
      <c r="R240" s="97">
        <f t="shared" si="76"/>
        <v>0</v>
      </c>
      <c r="S240" s="98">
        <v>201960</v>
      </c>
      <c r="T240" s="97"/>
      <c r="U240" s="100">
        <f t="shared" si="77"/>
        <v>0</v>
      </c>
      <c r="V240" s="107">
        <f t="shared" si="78"/>
        <v>0</v>
      </c>
      <c r="W240" s="91"/>
      <c r="X240" s="170">
        <v>8</v>
      </c>
      <c r="Y240" s="144">
        <f t="shared" si="89"/>
        <v>19354.5</v>
      </c>
      <c r="Z240" s="106">
        <f t="shared" si="90"/>
        <v>154836</v>
      </c>
      <c r="AA240" s="106"/>
      <c r="AB240" s="106"/>
      <c r="AC240" s="106"/>
      <c r="AD240" s="108">
        <f t="shared" si="91"/>
        <v>154836</v>
      </c>
    </row>
    <row r="241" spans="1:30" ht="15" x14ac:dyDescent="0.2">
      <c r="A241" s="91">
        <v>150305</v>
      </c>
      <c r="B241" s="101" t="s">
        <v>1029</v>
      </c>
      <c r="C241" s="102" t="s">
        <v>858</v>
      </c>
      <c r="D241" s="103" t="s">
        <v>5</v>
      </c>
      <c r="E241" s="104"/>
      <c r="F241" s="48">
        <v>32328</v>
      </c>
      <c r="G241" s="106">
        <f t="shared" si="85"/>
        <v>0</v>
      </c>
      <c r="H241" s="95"/>
      <c r="I241" s="95"/>
      <c r="J241" s="96"/>
      <c r="K241" s="96"/>
      <c r="L241" s="91"/>
      <c r="M241" s="91"/>
      <c r="N241" s="91"/>
      <c r="O241" s="91"/>
      <c r="P241" s="91"/>
      <c r="Q241" s="91"/>
      <c r="R241" s="97">
        <f t="shared" si="76"/>
        <v>0</v>
      </c>
      <c r="S241" s="98">
        <v>304020</v>
      </c>
      <c r="T241" s="97"/>
      <c r="U241" s="100">
        <f t="shared" si="77"/>
        <v>0</v>
      </c>
      <c r="V241" s="107">
        <f t="shared" si="78"/>
        <v>0</v>
      </c>
      <c r="W241" s="91"/>
      <c r="X241" s="170">
        <v>8</v>
      </c>
      <c r="Y241" s="144">
        <f t="shared" si="89"/>
        <v>33459.480000000003</v>
      </c>
      <c r="Z241" s="106">
        <f t="shared" si="90"/>
        <v>267676</v>
      </c>
      <c r="AA241" s="106"/>
      <c r="AB241" s="106"/>
      <c r="AC241" s="106"/>
      <c r="AD241" s="108">
        <f t="shared" si="91"/>
        <v>267676</v>
      </c>
    </row>
    <row r="242" spans="1:30" ht="15" x14ac:dyDescent="0.2">
      <c r="A242" s="91">
        <v>20424</v>
      </c>
      <c r="B242" s="101" t="s">
        <v>1030</v>
      </c>
      <c r="C242" s="102" t="s">
        <v>963</v>
      </c>
      <c r="D242" s="103" t="s">
        <v>5</v>
      </c>
      <c r="E242" s="104"/>
      <c r="F242" s="48">
        <v>2736780</v>
      </c>
      <c r="G242" s="106">
        <f t="shared" si="85"/>
        <v>0</v>
      </c>
      <c r="H242" s="95"/>
      <c r="I242" s="95"/>
      <c r="J242" s="96"/>
      <c r="K242" s="96"/>
      <c r="L242" s="91"/>
      <c r="M242" s="91"/>
      <c r="N242" s="91"/>
      <c r="O242" s="91"/>
      <c r="P242" s="91"/>
      <c r="Q242" s="91"/>
      <c r="R242" s="97">
        <f t="shared" si="76"/>
        <v>0</v>
      </c>
      <c r="S242" s="98">
        <v>973476.89999999991</v>
      </c>
      <c r="T242" s="97"/>
      <c r="U242" s="100">
        <f t="shared" si="77"/>
        <v>0</v>
      </c>
      <c r="V242" s="107">
        <f t="shared" si="78"/>
        <v>0</v>
      </c>
      <c r="W242" s="91"/>
      <c r="X242" s="170">
        <v>2</v>
      </c>
      <c r="Y242" s="144">
        <f t="shared" si="89"/>
        <v>2832567.3</v>
      </c>
      <c r="Z242" s="106">
        <f t="shared" si="90"/>
        <v>5665135</v>
      </c>
      <c r="AA242" s="106"/>
      <c r="AB242" s="106"/>
      <c r="AC242" s="106"/>
      <c r="AD242" s="108">
        <f t="shared" si="91"/>
        <v>5665135</v>
      </c>
    </row>
    <row r="243" spans="1:30" ht="15" x14ac:dyDescent="0.2">
      <c r="A243" s="91"/>
      <c r="B243" s="111" t="s">
        <v>723</v>
      </c>
      <c r="C243" s="93" t="s">
        <v>142</v>
      </c>
      <c r="D243" s="92"/>
      <c r="E243" s="93"/>
      <c r="F243" s="113"/>
      <c r="G243" s="113">
        <f>SUM(G244:G269)</f>
        <v>0</v>
      </c>
      <c r="H243" s="95"/>
      <c r="I243" s="95"/>
      <c r="J243" s="96"/>
      <c r="K243" s="96"/>
      <c r="L243" s="91"/>
      <c r="M243" s="91"/>
      <c r="N243" s="91"/>
      <c r="O243" s="91"/>
      <c r="P243" s="91"/>
      <c r="Q243" s="91"/>
      <c r="R243" s="97">
        <f t="shared" si="76"/>
        <v>0</v>
      </c>
      <c r="S243" s="98">
        <v>42978411</v>
      </c>
      <c r="T243" s="97"/>
      <c r="U243" s="100">
        <f t="shared" si="77"/>
        <v>0</v>
      </c>
      <c r="V243" s="107"/>
      <c r="W243" s="91"/>
      <c r="X243" s="113"/>
      <c r="Y243" s="113"/>
      <c r="Z243" s="113">
        <f>SUM(Z244:Z269)</f>
        <v>35381384</v>
      </c>
      <c r="AA243" s="113"/>
      <c r="AB243" s="113"/>
      <c r="AC243" s="113"/>
      <c r="AD243" s="94">
        <f>G243+Z243+AC243</f>
        <v>35381384</v>
      </c>
    </row>
    <row r="244" spans="1:30" ht="15" x14ac:dyDescent="0.2">
      <c r="A244" s="91">
        <v>165019</v>
      </c>
      <c r="B244" s="101" t="s">
        <v>724</v>
      </c>
      <c r="C244" s="102" t="s">
        <v>860</v>
      </c>
      <c r="D244" s="103" t="s">
        <v>11</v>
      </c>
      <c r="E244" s="104"/>
      <c r="F244" s="48">
        <v>38488</v>
      </c>
      <c r="G244" s="106">
        <f t="shared" si="85"/>
        <v>0</v>
      </c>
      <c r="H244" s="95"/>
      <c r="I244" s="95"/>
      <c r="J244" s="96"/>
      <c r="K244" s="96"/>
      <c r="L244" s="91"/>
      <c r="M244" s="91"/>
      <c r="N244" s="91"/>
      <c r="O244" s="91"/>
      <c r="P244" s="91"/>
      <c r="Q244" s="91"/>
      <c r="R244" s="97">
        <f t="shared" si="76"/>
        <v>0</v>
      </c>
      <c r="S244" s="98">
        <v>2565000</v>
      </c>
      <c r="T244" s="97"/>
      <c r="U244" s="100">
        <f t="shared" si="77"/>
        <v>0</v>
      </c>
      <c r="V244" s="107">
        <f t="shared" si="78"/>
        <v>0</v>
      </c>
      <c r="W244" s="91"/>
      <c r="X244" s="169">
        <v>50</v>
      </c>
      <c r="Y244" s="144">
        <f t="shared" ref="Y244:Y269" si="92">(F244*3.5%)+F244</f>
        <v>39835.08</v>
      </c>
      <c r="Z244" s="106">
        <f t="shared" ref="Z244:Z269" si="93">ROUND(X244*Y244,0)</f>
        <v>1991754</v>
      </c>
      <c r="AA244" s="106"/>
      <c r="AB244" s="106"/>
      <c r="AC244" s="106"/>
      <c r="AD244" s="108">
        <f t="shared" ref="AD244:AD269" si="94">G244+Z244+AC244</f>
        <v>1991754</v>
      </c>
    </row>
    <row r="245" spans="1:30" ht="15" x14ac:dyDescent="0.2">
      <c r="A245" s="91">
        <v>165021</v>
      </c>
      <c r="B245" s="101" t="s">
        <v>725</v>
      </c>
      <c r="C245" s="102" t="s">
        <v>859</v>
      </c>
      <c r="D245" s="103" t="s">
        <v>11</v>
      </c>
      <c r="E245" s="104"/>
      <c r="F245" s="48">
        <v>28929</v>
      </c>
      <c r="G245" s="106">
        <f t="shared" si="85"/>
        <v>0</v>
      </c>
      <c r="H245" s="95"/>
      <c r="I245" s="95"/>
      <c r="J245" s="96"/>
      <c r="K245" s="96"/>
      <c r="L245" s="91"/>
      <c r="M245" s="91"/>
      <c r="N245" s="91"/>
      <c r="O245" s="91"/>
      <c r="P245" s="91"/>
      <c r="Q245" s="91"/>
      <c r="R245" s="97">
        <f t="shared" si="76"/>
        <v>0</v>
      </c>
      <c r="S245" s="98">
        <v>2386800</v>
      </c>
      <c r="T245" s="97"/>
      <c r="U245" s="100">
        <f t="shared" si="77"/>
        <v>0</v>
      </c>
      <c r="V245" s="107">
        <f t="shared" si="78"/>
        <v>0</v>
      </c>
      <c r="W245" s="91"/>
      <c r="X245" s="169">
        <v>52</v>
      </c>
      <c r="Y245" s="144">
        <f t="shared" si="92"/>
        <v>29941.514999999999</v>
      </c>
      <c r="Z245" s="106">
        <f t="shared" si="93"/>
        <v>1556959</v>
      </c>
      <c r="AA245" s="106"/>
      <c r="AB245" s="106"/>
      <c r="AC245" s="106"/>
      <c r="AD245" s="108">
        <f t="shared" si="94"/>
        <v>1556959</v>
      </c>
    </row>
    <row r="246" spans="1:30" ht="15" x14ac:dyDescent="0.2">
      <c r="A246" s="91">
        <v>160509</v>
      </c>
      <c r="B246" s="101" t="s">
        <v>726</v>
      </c>
      <c r="C246" s="102" t="s">
        <v>966</v>
      </c>
      <c r="D246" s="103" t="s">
        <v>11</v>
      </c>
      <c r="E246" s="104"/>
      <c r="F246" s="48">
        <v>13951</v>
      </c>
      <c r="G246" s="106">
        <f t="shared" si="85"/>
        <v>0</v>
      </c>
      <c r="H246" s="95"/>
      <c r="I246" s="95"/>
      <c r="J246" s="96"/>
      <c r="K246" s="96"/>
      <c r="L246" s="91"/>
      <c r="M246" s="91"/>
      <c r="N246" s="91"/>
      <c r="O246" s="91"/>
      <c r="P246" s="91"/>
      <c r="Q246" s="91"/>
      <c r="R246" s="97">
        <f t="shared" si="76"/>
        <v>0</v>
      </c>
      <c r="S246" s="98">
        <v>2592000</v>
      </c>
      <c r="T246" s="97"/>
      <c r="U246" s="100">
        <f t="shared" si="77"/>
        <v>0</v>
      </c>
      <c r="V246" s="107">
        <f t="shared" si="78"/>
        <v>0</v>
      </c>
      <c r="W246" s="91"/>
      <c r="X246" s="169">
        <v>60</v>
      </c>
      <c r="Y246" s="144">
        <f t="shared" si="92"/>
        <v>14439.285</v>
      </c>
      <c r="Z246" s="106">
        <f t="shared" si="93"/>
        <v>866357</v>
      </c>
      <c r="AA246" s="106"/>
      <c r="AB246" s="106"/>
      <c r="AC246" s="106"/>
      <c r="AD246" s="108">
        <f t="shared" si="94"/>
        <v>866357</v>
      </c>
    </row>
    <row r="247" spans="1:30" ht="15" x14ac:dyDescent="0.2">
      <c r="A247" s="91">
        <v>160508</v>
      </c>
      <c r="B247" s="101" t="s">
        <v>727</v>
      </c>
      <c r="C247" s="102" t="s">
        <v>967</v>
      </c>
      <c r="D247" s="103" t="s">
        <v>11</v>
      </c>
      <c r="E247" s="104"/>
      <c r="F247" s="48">
        <v>17306</v>
      </c>
      <c r="G247" s="106">
        <f t="shared" si="85"/>
        <v>0</v>
      </c>
      <c r="H247" s="95"/>
      <c r="I247" s="95"/>
      <c r="J247" s="96"/>
      <c r="K247" s="96"/>
      <c r="L247" s="91"/>
      <c r="M247" s="91"/>
      <c r="N247" s="91"/>
      <c r="O247" s="91"/>
      <c r="P247" s="91"/>
      <c r="Q247" s="91"/>
      <c r="R247" s="97">
        <f t="shared" si="76"/>
        <v>0</v>
      </c>
      <c r="S247" s="98">
        <v>1628100</v>
      </c>
      <c r="T247" s="97"/>
      <c r="U247" s="100">
        <f t="shared" si="77"/>
        <v>0</v>
      </c>
      <c r="V247" s="107">
        <f t="shared" si="78"/>
        <v>0</v>
      </c>
      <c r="W247" s="91"/>
      <c r="X247" s="169">
        <v>36</v>
      </c>
      <c r="Y247" s="144">
        <f t="shared" si="92"/>
        <v>17911.71</v>
      </c>
      <c r="Z247" s="106">
        <f t="shared" si="93"/>
        <v>644822</v>
      </c>
      <c r="AA247" s="106"/>
      <c r="AB247" s="106"/>
      <c r="AC247" s="106"/>
      <c r="AD247" s="108">
        <f t="shared" si="94"/>
        <v>644822</v>
      </c>
    </row>
    <row r="248" spans="1:30" ht="15" x14ac:dyDescent="0.2">
      <c r="A248" s="91">
        <v>160506</v>
      </c>
      <c r="B248" s="101" t="s">
        <v>728</v>
      </c>
      <c r="C248" s="102" t="s">
        <v>964</v>
      </c>
      <c r="D248" s="103" t="s">
        <v>11</v>
      </c>
      <c r="E248" s="104"/>
      <c r="F248" s="48">
        <v>8866</v>
      </c>
      <c r="G248" s="106">
        <f t="shared" si="85"/>
        <v>0</v>
      </c>
      <c r="H248" s="95"/>
      <c r="I248" s="95"/>
      <c r="J248" s="96"/>
      <c r="K248" s="96"/>
      <c r="L248" s="91"/>
      <c r="M248" s="91"/>
      <c r="N248" s="91"/>
      <c r="O248" s="91"/>
      <c r="P248" s="91"/>
      <c r="Q248" s="91"/>
      <c r="R248" s="97">
        <f t="shared" si="76"/>
        <v>0</v>
      </c>
      <c r="S248" s="98">
        <v>2721600</v>
      </c>
      <c r="T248" s="97"/>
      <c r="U248" s="100">
        <f t="shared" si="77"/>
        <v>0</v>
      </c>
      <c r="V248" s="107">
        <f t="shared" si="78"/>
        <v>0</v>
      </c>
      <c r="W248" s="91"/>
      <c r="X248" s="169">
        <v>72</v>
      </c>
      <c r="Y248" s="144">
        <f t="shared" si="92"/>
        <v>9176.31</v>
      </c>
      <c r="Z248" s="106">
        <f t="shared" si="93"/>
        <v>660694</v>
      </c>
      <c r="AA248" s="106"/>
      <c r="AB248" s="106"/>
      <c r="AC248" s="106"/>
      <c r="AD248" s="108">
        <f t="shared" si="94"/>
        <v>660694</v>
      </c>
    </row>
    <row r="249" spans="1:30" ht="15" x14ac:dyDescent="0.2">
      <c r="A249" s="91">
        <v>160505</v>
      </c>
      <c r="B249" s="101" t="s">
        <v>729</v>
      </c>
      <c r="C249" s="102" t="s">
        <v>965</v>
      </c>
      <c r="D249" s="103" t="s">
        <v>11</v>
      </c>
      <c r="E249" s="104"/>
      <c r="F249" s="48">
        <v>7066</v>
      </c>
      <c r="G249" s="106">
        <f t="shared" si="85"/>
        <v>0</v>
      </c>
      <c r="H249" s="95"/>
      <c r="I249" s="95"/>
      <c r="J249" s="96"/>
      <c r="K249" s="96"/>
      <c r="L249" s="91"/>
      <c r="M249" s="91"/>
      <c r="N249" s="91"/>
      <c r="O249" s="91"/>
      <c r="P249" s="91"/>
      <c r="Q249" s="91"/>
      <c r="R249" s="97">
        <f t="shared" si="76"/>
        <v>0</v>
      </c>
      <c r="S249" s="98">
        <v>5467500</v>
      </c>
      <c r="T249" s="97"/>
      <c r="U249" s="100">
        <f t="shared" si="77"/>
        <v>0</v>
      </c>
      <c r="V249" s="107">
        <f t="shared" si="78"/>
        <v>0</v>
      </c>
      <c r="W249" s="91"/>
      <c r="X249" s="169">
        <v>180</v>
      </c>
      <c r="Y249" s="144">
        <f t="shared" si="92"/>
        <v>7313.31</v>
      </c>
      <c r="Z249" s="106">
        <f t="shared" si="93"/>
        <v>1316396</v>
      </c>
      <c r="AA249" s="106"/>
      <c r="AB249" s="106"/>
      <c r="AC249" s="106"/>
      <c r="AD249" s="108">
        <f t="shared" si="94"/>
        <v>1316396</v>
      </c>
    </row>
    <row r="250" spans="1:30" ht="15" x14ac:dyDescent="0.2">
      <c r="A250" s="91">
        <v>160653</v>
      </c>
      <c r="B250" s="101" t="s">
        <v>730</v>
      </c>
      <c r="C250" s="102" t="s">
        <v>861</v>
      </c>
      <c r="D250" s="103" t="s">
        <v>5</v>
      </c>
      <c r="E250" s="104"/>
      <c r="F250" s="48">
        <v>848123</v>
      </c>
      <c r="G250" s="106">
        <f t="shared" si="85"/>
        <v>0</v>
      </c>
      <c r="H250" s="95"/>
      <c r="I250" s="95"/>
      <c r="J250" s="96"/>
      <c r="K250" s="96"/>
      <c r="L250" s="91"/>
      <c r="M250" s="91"/>
      <c r="N250" s="91"/>
      <c r="O250" s="91"/>
      <c r="P250" s="91"/>
      <c r="Q250" s="91"/>
      <c r="R250" s="97">
        <f t="shared" si="76"/>
        <v>0</v>
      </c>
      <c r="S250" s="98">
        <v>635850</v>
      </c>
      <c r="T250" s="97"/>
      <c r="U250" s="100">
        <f t="shared" si="77"/>
        <v>0</v>
      </c>
      <c r="V250" s="107">
        <f t="shared" si="78"/>
        <v>0</v>
      </c>
      <c r="W250" s="91"/>
      <c r="X250" s="169">
        <v>1</v>
      </c>
      <c r="Y250" s="144">
        <f t="shared" si="92"/>
        <v>877807.30500000005</v>
      </c>
      <c r="Z250" s="106">
        <f t="shared" si="93"/>
        <v>877807</v>
      </c>
      <c r="AA250" s="106"/>
      <c r="AB250" s="106"/>
      <c r="AC250" s="106"/>
      <c r="AD250" s="108">
        <f t="shared" si="94"/>
        <v>877807</v>
      </c>
    </row>
    <row r="251" spans="1:30" ht="15" x14ac:dyDescent="0.2">
      <c r="A251" s="91">
        <v>160656</v>
      </c>
      <c r="B251" s="101" t="s">
        <v>731</v>
      </c>
      <c r="C251" s="102" t="s">
        <v>862</v>
      </c>
      <c r="D251" s="103" t="s">
        <v>5</v>
      </c>
      <c r="E251" s="104"/>
      <c r="F251" s="48">
        <v>378348</v>
      </c>
      <c r="G251" s="106">
        <f t="shared" si="85"/>
        <v>0</v>
      </c>
      <c r="H251" s="95"/>
      <c r="I251" s="95"/>
      <c r="J251" s="96"/>
      <c r="K251" s="96"/>
      <c r="L251" s="91"/>
      <c r="M251" s="91"/>
      <c r="N251" s="91"/>
      <c r="O251" s="91"/>
      <c r="P251" s="91"/>
      <c r="Q251" s="91"/>
      <c r="R251" s="97">
        <f t="shared" si="76"/>
        <v>0</v>
      </c>
      <c r="S251" s="98">
        <v>1539000</v>
      </c>
      <c r="T251" s="97"/>
      <c r="U251" s="100">
        <f t="shared" si="77"/>
        <v>0</v>
      </c>
      <c r="V251" s="107">
        <f t="shared" si="78"/>
        <v>0</v>
      </c>
      <c r="W251" s="91"/>
      <c r="X251" s="169">
        <v>4</v>
      </c>
      <c r="Y251" s="144">
        <f t="shared" si="92"/>
        <v>391590.18</v>
      </c>
      <c r="Z251" s="106">
        <f t="shared" si="93"/>
        <v>1566361</v>
      </c>
      <c r="AA251" s="106"/>
      <c r="AB251" s="106"/>
      <c r="AC251" s="106"/>
      <c r="AD251" s="108">
        <f t="shared" si="94"/>
        <v>1566361</v>
      </c>
    </row>
    <row r="252" spans="1:30" ht="15" x14ac:dyDescent="0.2">
      <c r="A252" s="91">
        <v>160618</v>
      </c>
      <c r="B252" s="101" t="s">
        <v>732</v>
      </c>
      <c r="C252" s="102" t="s">
        <v>863</v>
      </c>
      <c r="D252" s="103" t="s">
        <v>5</v>
      </c>
      <c r="E252" s="104"/>
      <c r="F252" s="48">
        <v>38767</v>
      </c>
      <c r="G252" s="106">
        <f t="shared" si="85"/>
        <v>0</v>
      </c>
      <c r="H252" s="95"/>
      <c r="I252" s="95"/>
      <c r="J252" s="96"/>
      <c r="K252" s="96"/>
      <c r="L252" s="91"/>
      <c r="M252" s="91"/>
      <c r="N252" s="91"/>
      <c r="O252" s="91"/>
      <c r="P252" s="91"/>
      <c r="Q252" s="91"/>
      <c r="R252" s="97">
        <f t="shared" si="76"/>
        <v>0</v>
      </c>
      <c r="S252" s="98">
        <v>1579500</v>
      </c>
      <c r="T252" s="97"/>
      <c r="U252" s="100">
        <f t="shared" si="77"/>
        <v>0</v>
      </c>
      <c r="V252" s="107">
        <f t="shared" si="78"/>
        <v>0</v>
      </c>
      <c r="W252" s="91"/>
      <c r="X252" s="169">
        <v>15</v>
      </c>
      <c r="Y252" s="144">
        <f t="shared" si="92"/>
        <v>40123.845000000001</v>
      </c>
      <c r="Z252" s="106">
        <f t="shared" si="93"/>
        <v>601858</v>
      </c>
      <c r="AA252" s="106"/>
      <c r="AB252" s="106"/>
      <c r="AC252" s="106"/>
      <c r="AD252" s="108">
        <f t="shared" si="94"/>
        <v>601858</v>
      </c>
    </row>
    <row r="253" spans="1:30" ht="15" x14ac:dyDescent="0.2">
      <c r="A253" s="91">
        <v>160152</v>
      </c>
      <c r="B253" s="101" t="s">
        <v>1031</v>
      </c>
      <c r="C253" s="102" t="s">
        <v>864</v>
      </c>
      <c r="D253" s="103" t="s">
        <v>5</v>
      </c>
      <c r="E253" s="104"/>
      <c r="F253" s="48">
        <v>9331</v>
      </c>
      <c r="G253" s="106">
        <f t="shared" si="85"/>
        <v>0</v>
      </c>
      <c r="H253" s="95"/>
      <c r="I253" s="95"/>
      <c r="J253" s="96"/>
      <c r="K253" s="96"/>
      <c r="L253" s="91"/>
      <c r="M253" s="91"/>
      <c r="N253" s="91"/>
      <c r="O253" s="91"/>
      <c r="P253" s="91"/>
      <c r="Q253" s="91"/>
      <c r="R253" s="97">
        <f t="shared" si="76"/>
        <v>0</v>
      </c>
      <c r="S253" s="98">
        <v>70200</v>
      </c>
      <c r="T253" s="97"/>
      <c r="U253" s="100">
        <f t="shared" si="77"/>
        <v>0</v>
      </c>
      <c r="V253" s="107">
        <f t="shared" si="78"/>
        <v>0</v>
      </c>
      <c r="W253" s="91"/>
      <c r="X253" s="169">
        <v>2</v>
      </c>
      <c r="Y253" s="144">
        <f t="shared" si="92"/>
        <v>9657.5849999999991</v>
      </c>
      <c r="Z253" s="106">
        <f t="shared" si="93"/>
        <v>19315</v>
      </c>
      <c r="AA253" s="106"/>
      <c r="AB253" s="106"/>
      <c r="AC253" s="106"/>
      <c r="AD253" s="108">
        <f t="shared" si="94"/>
        <v>19315</v>
      </c>
    </row>
    <row r="254" spans="1:30" ht="15" x14ac:dyDescent="0.2">
      <c r="A254" s="91">
        <v>160732</v>
      </c>
      <c r="B254" s="101" t="s">
        <v>1032</v>
      </c>
      <c r="C254" s="102" t="s">
        <v>867</v>
      </c>
      <c r="D254" s="103" t="s">
        <v>5</v>
      </c>
      <c r="E254" s="104"/>
      <c r="F254" s="48">
        <v>46589</v>
      </c>
      <c r="G254" s="106">
        <f t="shared" si="85"/>
        <v>0</v>
      </c>
      <c r="H254" s="95"/>
      <c r="I254" s="95"/>
      <c r="J254" s="96"/>
      <c r="K254" s="96"/>
      <c r="L254" s="91"/>
      <c r="M254" s="91"/>
      <c r="N254" s="91"/>
      <c r="O254" s="91"/>
      <c r="P254" s="91"/>
      <c r="Q254" s="91"/>
      <c r="R254" s="97">
        <f t="shared" si="76"/>
        <v>0</v>
      </c>
      <c r="S254" s="98">
        <v>1053000</v>
      </c>
      <c r="T254" s="97"/>
      <c r="U254" s="100">
        <f t="shared" si="77"/>
        <v>0</v>
      </c>
      <c r="V254" s="107">
        <f t="shared" si="78"/>
        <v>0</v>
      </c>
      <c r="W254" s="91"/>
      <c r="X254" s="169">
        <v>90</v>
      </c>
      <c r="Y254" s="144">
        <f t="shared" si="92"/>
        <v>48219.614999999998</v>
      </c>
      <c r="Z254" s="106">
        <f t="shared" si="93"/>
        <v>4339765</v>
      </c>
      <c r="AA254" s="106"/>
      <c r="AB254" s="106"/>
      <c r="AC254" s="106"/>
      <c r="AD254" s="108">
        <f t="shared" si="94"/>
        <v>4339765</v>
      </c>
    </row>
    <row r="255" spans="1:30" ht="15" x14ac:dyDescent="0.2">
      <c r="A255" s="91">
        <v>160728</v>
      </c>
      <c r="B255" s="101" t="s">
        <v>1033</v>
      </c>
      <c r="C255" s="102" t="s">
        <v>865</v>
      </c>
      <c r="D255" s="103" t="s">
        <v>5</v>
      </c>
      <c r="E255" s="104"/>
      <c r="F255" s="48">
        <v>4223</v>
      </c>
      <c r="G255" s="106">
        <f t="shared" si="85"/>
        <v>0</v>
      </c>
      <c r="H255" s="95"/>
      <c r="I255" s="95"/>
      <c r="J255" s="96"/>
      <c r="K255" s="96"/>
      <c r="L255" s="91"/>
      <c r="M255" s="91"/>
      <c r="N255" s="91"/>
      <c r="O255" s="91"/>
      <c r="P255" s="91"/>
      <c r="Q255" s="91"/>
      <c r="R255" s="97">
        <f t="shared" si="76"/>
        <v>0</v>
      </c>
      <c r="S255" s="98">
        <v>583200</v>
      </c>
      <c r="T255" s="97"/>
      <c r="U255" s="100">
        <f t="shared" si="77"/>
        <v>0</v>
      </c>
      <c r="V255" s="107">
        <f t="shared" si="78"/>
        <v>0</v>
      </c>
      <c r="W255" s="91"/>
      <c r="X255" s="169">
        <v>36</v>
      </c>
      <c r="Y255" s="144">
        <f t="shared" si="92"/>
        <v>4370.8050000000003</v>
      </c>
      <c r="Z255" s="106">
        <f t="shared" si="93"/>
        <v>157349</v>
      </c>
      <c r="AA255" s="106"/>
      <c r="AB255" s="106"/>
      <c r="AC255" s="106"/>
      <c r="AD255" s="108">
        <f t="shared" si="94"/>
        <v>157349</v>
      </c>
    </row>
    <row r="256" spans="1:30" ht="15" x14ac:dyDescent="0.2">
      <c r="A256" s="91">
        <v>160727</v>
      </c>
      <c r="B256" s="101" t="s">
        <v>1034</v>
      </c>
      <c r="C256" s="102" t="s">
        <v>866</v>
      </c>
      <c r="D256" s="103" t="s">
        <v>5</v>
      </c>
      <c r="E256" s="104"/>
      <c r="F256" s="48">
        <v>4068</v>
      </c>
      <c r="G256" s="106">
        <f t="shared" si="85"/>
        <v>0</v>
      </c>
      <c r="H256" s="95"/>
      <c r="I256" s="95"/>
      <c r="J256" s="96"/>
      <c r="K256" s="96"/>
      <c r="L256" s="91"/>
      <c r="M256" s="91"/>
      <c r="N256" s="91"/>
      <c r="O256" s="91"/>
      <c r="P256" s="91"/>
      <c r="Q256" s="91"/>
      <c r="R256" s="97">
        <f t="shared" si="76"/>
        <v>0</v>
      </c>
      <c r="S256" s="98">
        <v>1458000</v>
      </c>
      <c r="T256" s="97"/>
      <c r="U256" s="100">
        <f t="shared" si="77"/>
        <v>0</v>
      </c>
      <c r="V256" s="107">
        <f t="shared" si="78"/>
        <v>0</v>
      </c>
      <c r="W256" s="91"/>
      <c r="X256" s="169">
        <v>90</v>
      </c>
      <c r="Y256" s="144">
        <f t="shared" si="92"/>
        <v>4210.38</v>
      </c>
      <c r="Z256" s="106">
        <f t="shared" si="93"/>
        <v>378934</v>
      </c>
      <c r="AA256" s="106"/>
      <c r="AB256" s="106"/>
      <c r="AC256" s="106"/>
      <c r="AD256" s="108">
        <f t="shared" si="94"/>
        <v>378934</v>
      </c>
    </row>
    <row r="257" spans="1:30" ht="15" x14ac:dyDescent="0.2">
      <c r="A257" s="91">
        <v>160116</v>
      </c>
      <c r="B257" s="101" t="s">
        <v>1035</v>
      </c>
      <c r="C257" s="102" t="s">
        <v>868</v>
      </c>
      <c r="D257" s="103" t="s">
        <v>5</v>
      </c>
      <c r="E257" s="104"/>
      <c r="F257" s="48">
        <v>48701</v>
      </c>
      <c r="G257" s="106">
        <f t="shared" si="85"/>
        <v>0</v>
      </c>
      <c r="H257" s="95"/>
      <c r="I257" s="95"/>
      <c r="J257" s="96"/>
      <c r="K257" s="96"/>
      <c r="L257" s="91"/>
      <c r="M257" s="91"/>
      <c r="N257" s="91"/>
      <c r="O257" s="91"/>
      <c r="P257" s="91"/>
      <c r="Q257" s="91"/>
      <c r="R257" s="97">
        <f t="shared" si="76"/>
        <v>0</v>
      </c>
      <c r="S257" s="98">
        <v>102600</v>
      </c>
      <c r="T257" s="97"/>
      <c r="U257" s="100">
        <f t="shared" si="77"/>
        <v>0</v>
      </c>
      <c r="V257" s="107">
        <f t="shared" si="78"/>
        <v>0</v>
      </c>
      <c r="W257" s="91"/>
      <c r="X257" s="169">
        <v>2</v>
      </c>
      <c r="Y257" s="144">
        <f t="shared" si="92"/>
        <v>50405.535000000003</v>
      </c>
      <c r="Z257" s="106">
        <f t="shared" si="93"/>
        <v>100811</v>
      </c>
      <c r="AA257" s="106"/>
      <c r="AB257" s="106"/>
      <c r="AC257" s="106"/>
      <c r="AD257" s="108">
        <f t="shared" si="94"/>
        <v>100811</v>
      </c>
    </row>
    <row r="258" spans="1:30" ht="15" x14ac:dyDescent="0.2">
      <c r="A258" s="91">
        <v>160117</v>
      </c>
      <c r="B258" s="101" t="s">
        <v>1036</v>
      </c>
      <c r="C258" s="102" t="s">
        <v>869</v>
      </c>
      <c r="D258" s="103" t="s">
        <v>5</v>
      </c>
      <c r="E258" s="104"/>
      <c r="F258" s="48">
        <v>18644</v>
      </c>
      <c r="G258" s="106">
        <f t="shared" si="85"/>
        <v>0</v>
      </c>
      <c r="H258" s="95"/>
      <c r="I258" s="95"/>
      <c r="J258" s="96"/>
      <c r="K258" s="96"/>
      <c r="L258" s="91"/>
      <c r="M258" s="91"/>
      <c r="N258" s="91"/>
      <c r="O258" s="91"/>
      <c r="P258" s="91"/>
      <c r="Q258" s="91"/>
      <c r="R258" s="97">
        <f t="shared" si="76"/>
        <v>0</v>
      </c>
      <c r="S258" s="98">
        <v>75600</v>
      </c>
      <c r="T258" s="97"/>
      <c r="U258" s="100">
        <f t="shared" si="77"/>
        <v>0</v>
      </c>
      <c r="V258" s="107">
        <f t="shared" si="78"/>
        <v>0</v>
      </c>
      <c r="W258" s="91"/>
      <c r="X258" s="169">
        <v>2</v>
      </c>
      <c r="Y258" s="144">
        <f t="shared" si="92"/>
        <v>19296.54</v>
      </c>
      <c r="Z258" s="106">
        <f t="shared" si="93"/>
        <v>38593</v>
      </c>
      <c r="AA258" s="106"/>
      <c r="AB258" s="106"/>
      <c r="AC258" s="106"/>
      <c r="AD258" s="108">
        <f t="shared" si="94"/>
        <v>38593</v>
      </c>
    </row>
    <row r="259" spans="1:30" ht="15" x14ac:dyDescent="0.2">
      <c r="A259" s="91">
        <v>160115</v>
      </c>
      <c r="B259" s="101" t="s">
        <v>1037</v>
      </c>
      <c r="C259" s="102" t="s">
        <v>870</v>
      </c>
      <c r="D259" s="103" t="s">
        <v>5</v>
      </c>
      <c r="E259" s="104"/>
      <c r="F259" s="48">
        <v>12394</v>
      </c>
      <c r="G259" s="106">
        <f t="shared" si="85"/>
        <v>0</v>
      </c>
      <c r="H259" s="95"/>
      <c r="I259" s="95"/>
      <c r="J259" s="96"/>
      <c r="K259" s="96"/>
      <c r="L259" s="91"/>
      <c r="M259" s="91"/>
      <c r="N259" s="91"/>
      <c r="O259" s="91"/>
      <c r="P259" s="91"/>
      <c r="Q259" s="91"/>
      <c r="R259" s="97">
        <f t="shared" si="76"/>
        <v>0</v>
      </c>
      <c r="S259" s="98">
        <v>680400</v>
      </c>
      <c r="T259" s="97"/>
      <c r="U259" s="100">
        <f t="shared" si="77"/>
        <v>0</v>
      </c>
      <c r="V259" s="107">
        <f t="shared" si="78"/>
        <v>0</v>
      </c>
      <c r="W259" s="91"/>
      <c r="X259" s="169">
        <v>28</v>
      </c>
      <c r="Y259" s="144">
        <f t="shared" si="92"/>
        <v>12827.79</v>
      </c>
      <c r="Z259" s="106">
        <f t="shared" si="93"/>
        <v>359178</v>
      </c>
      <c r="AA259" s="106"/>
      <c r="AB259" s="106"/>
      <c r="AC259" s="106"/>
      <c r="AD259" s="108">
        <f t="shared" si="94"/>
        <v>359178</v>
      </c>
    </row>
    <row r="260" spans="1:30" ht="15" x14ac:dyDescent="0.2">
      <c r="A260" s="91">
        <v>160112</v>
      </c>
      <c r="B260" s="101" t="s">
        <v>1038</v>
      </c>
      <c r="C260" s="102" t="s">
        <v>871</v>
      </c>
      <c r="D260" s="103" t="s">
        <v>5</v>
      </c>
      <c r="E260" s="104"/>
      <c r="F260" s="48">
        <v>6785</v>
      </c>
      <c r="G260" s="106">
        <f t="shared" si="85"/>
        <v>0</v>
      </c>
      <c r="H260" s="95"/>
      <c r="I260" s="95"/>
      <c r="J260" s="96"/>
      <c r="K260" s="96"/>
      <c r="L260" s="91"/>
      <c r="M260" s="91"/>
      <c r="N260" s="91"/>
      <c r="O260" s="91"/>
      <c r="P260" s="91"/>
      <c r="Q260" s="91"/>
      <c r="R260" s="97">
        <f t="shared" si="76"/>
        <v>0</v>
      </c>
      <c r="S260" s="98">
        <v>64800</v>
      </c>
      <c r="T260" s="97"/>
      <c r="U260" s="100">
        <f t="shared" si="77"/>
        <v>0</v>
      </c>
      <c r="V260" s="107">
        <f t="shared" si="78"/>
        <v>0</v>
      </c>
      <c r="W260" s="91"/>
      <c r="X260" s="169">
        <v>4</v>
      </c>
      <c r="Y260" s="144">
        <f t="shared" si="92"/>
        <v>7022.4750000000004</v>
      </c>
      <c r="Z260" s="106">
        <f t="shared" si="93"/>
        <v>28090</v>
      </c>
      <c r="AA260" s="106"/>
      <c r="AB260" s="106"/>
      <c r="AC260" s="106"/>
      <c r="AD260" s="108">
        <f t="shared" si="94"/>
        <v>28090</v>
      </c>
    </row>
    <row r="261" spans="1:30" ht="15" x14ac:dyDescent="0.2">
      <c r="A261" s="91">
        <v>160111</v>
      </c>
      <c r="B261" s="101" t="s">
        <v>1039</v>
      </c>
      <c r="C261" s="102" t="s">
        <v>872</v>
      </c>
      <c r="D261" s="103" t="s">
        <v>5</v>
      </c>
      <c r="E261" s="104"/>
      <c r="F261" s="48">
        <v>1853</v>
      </c>
      <c r="G261" s="106">
        <f t="shared" si="85"/>
        <v>0</v>
      </c>
      <c r="H261" s="95"/>
      <c r="I261" s="95"/>
      <c r="J261" s="96"/>
      <c r="K261" s="96"/>
      <c r="L261" s="91"/>
      <c r="M261" s="91"/>
      <c r="N261" s="91"/>
      <c r="O261" s="91"/>
      <c r="P261" s="91"/>
      <c r="Q261" s="91"/>
      <c r="R261" s="97">
        <f t="shared" ref="R261:R314" si="95">(G261*0.3)+G261+(G261*0.05)</f>
        <v>0</v>
      </c>
      <c r="S261" s="98">
        <v>216000</v>
      </c>
      <c r="T261" s="97"/>
      <c r="U261" s="100">
        <f t="shared" si="77"/>
        <v>0</v>
      </c>
      <c r="V261" s="107">
        <f t="shared" si="78"/>
        <v>0</v>
      </c>
      <c r="W261" s="91"/>
      <c r="X261" s="169">
        <v>20</v>
      </c>
      <c r="Y261" s="144">
        <f t="shared" si="92"/>
        <v>1917.855</v>
      </c>
      <c r="Z261" s="106">
        <f t="shared" si="93"/>
        <v>38357</v>
      </c>
      <c r="AA261" s="106"/>
      <c r="AB261" s="106"/>
      <c r="AC261" s="106"/>
      <c r="AD261" s="108">
        <f t="shared" si="94"/>
        <v>38357</v>
      </c>
    </row>
    <row r="262" spans="1:30" ht="15" x14ac:dyDescent="0.2">
      <c r="A262" s="91">
        <v>160110</v>
      </c>
      <c r="B262" s="101" t="s">
        <v>1040</v>
      </c>
      <c r="C262" s="102" t="s">
        <v>873</v>
      </c>
      <c r="D262" s="103" t="s">
        <v>5</v>
      </c>
      <c r="E262" s="104"/>
      <c r="F262" s="48">
        <v>1372</v>
      </c>
      <c r="G262" s="106">
        <f t="shared" si="85"/>
        <v>0</v>
      </c>
      <c r="H262" s="95"/>
      <c r="I262" s="95"/>
      <c r="J262" s="96"/>
      <c r="K262" s="96"/>
      <c r="L262" s="91"/>
      <c r="M262" s="91"/>
      <c r="N262" s="91"/>
      <c r="O262" s="91"/>
      <c r="P262" s="91"/>
      <c r="Q262" s="91"/>
      <c r="R262" s="97">
        <f t="shared" si="95"/>
        <v>0</v>
      </c>
      <c r="S262" s="98">
        <v>972000</v>
      </c>
      <c r="T262" s="97"/>
      <c r="U262" s="100">
        <f t="shared" si="77"/>
        <v>0</v>
      </c>
      <c r="V262" s="107">
        <f t="shared" si="78"/>
        <v>0</v>
      </c>
      <c r="W262" s="91"/>
      <c r="X262" s="169">
        <v>120</v>
      </c>
      <c r="Y262" s="144">
        <f t="shared" si="92"/>
        <v>1420.02</v>
      </c>
      <c r="Z262" s="106">
        <f t="shared" si="93"/>
        <v>170402</v>
      </c>
      <c r="AA262" s="106"/>
      <c r="AB262" s="106"/>
      <c r="AC262" s="106"/>
      <c r="AD262" s="108">
        <f t="shared" si="94"/>
        <v>170402</v>
      </c>
    </row>
    <row r="263" spans="1:30" ht="15" x14ac:dyDescent="0.2">
      <c r="A263" s="91">
        <v>160126</v>
      </c>
      <c r="B263" s="101" t="s">
        <v>1041</v>
      </c>
      <c r="C263" s="102" t="s">
        <v>874</v>
      </c>
      <c r="D263" s="103" t="s">
        <v>5</v>
      </c>
      <c r="E263" s="104"/>
      <c r="F263" s="48">
        <v>13174</v>
      </c>
      <c r="G263" s="106">
        <f t="shared" si="85"/>
        <v>0</v>
      </c>
      <c r="H263" s="95"/>
      <c r="I263" s="95"/>
      <c r="J263" s="96"/>
      <c r="K263" s="96"/>
      <c r="L263" s="91"/>
      <c r="M263" s="91"/>
      <c r="N263" s="91"/>
      <c r="O263" s="91"/>
      <c r="P263" s="91"/>
      <c r="Q263" s="91"/>
      <c r="R263" s="97">
        <f t="shared" si="95"/>
        <v>0</v>
      </c>
      <c r="S263" s="98">
        <v>486000</v>
      </c>
      <c r="T263" s="97"/>
      <c r="U263" s="100">
        <f t="shared" si="77"/>
        <v>0</v>
      </c>
      <c r="V263" s="107">
        <f t="shared" si="78"/>
        <v>0</v>
      </c>
      <c r="W263" s="91"/>
      <c r="X263" s="169">
        <v>18</v>
      </c>
      <c r="Y263" s="144">
        <f t="shared" si="92"/>
        <v>13635.09</v>
      </c>
      <c r="Z263" s="106">
        <f t="shared" si="93"/>
        <v>245432</v>
      </c>
      <c r="AA263" s="106"/>
      <c r="AB263" s="106"/>
      <c r="AC263" s="106"/>
      <c r="AD263" s="108">
        <f t="shared" si="94"/>
        <v>245432</v>
      </c>
    </row>
    <row r="264" spans="1:30" ht="15" x14ac:dyDescent="0.2">
      <c r="A264" s="91">
        <v>160132</v>
      </c>
      <c r="B264" s="101" t="s">
        <v>1042</v>
      </c>
      <c r="C264" s="102" t="s">
        <v>875</v>
      </c>
      <c r="D264" s="103" t="s">
        <v>5</v>
      </c>
      <c r="E264" s="104"/>
      <c r="F264" s="48">
        <v>2749</v>
      </c>
      <c r="G264" s="106">
        <f t="shared" si="85"/>
        <v>0</v>
      </c>
      <c r="H264" s="95"/>
      <c r="I264" s="95"/>
      <c r="J264" s="96"/>
      <c r="K264" s="96"/>
      <c r="L264" s="91"/>
      <c r="M264" s="91"/>
      <c r="N264" s="91"/>
      <c r="O264" s="91"/>
      <c r="P264" s="91"/>
      <c r="Q264" s="91"/>
      <c r="R264" s="97">
        <f t="shared" si="95"/>
        <v>0</v>
      </c>
      <c r="S264" s="98">
        <v>52650</v>
      </c>
      <c r="T264" s="97"/>
      <c r="U264" s="100">
        <f t="shared" si="77"/>
        <v>0</v>
      </c>
      <c r="V264" s="107">
        <f t="shared" si="78"/>
        <v>0</v>
      </c>
      <c r="W264" s="91"/>
      <c r="X264" s="169">
        <v>6</v>
      </c>
      <c r="Y264" s="144">
        <f t="shared" si="92"/>
        <v>2845.2150000000001</v>
      </c>
      <c r="Z264" s="106">
        <f t="shared" si="93"/>
        <v>17071</v>
      </c>
      <c r="AA264" s="106"/>
      <c r="AB264" s="106"/>
      <c r="AC264" s="106"/>
      <c r="AD264" s="108">
        <f t="shared" si="94"/>
        <v>17071</v>
      </c>
    </row>
    <row r="265" spans="1:30" ht="15" x14ac:dyDescent="0.2">
      <c r="A265" s="91">
        <v>160129</v>
      </c>
      <c r="B265" s="101" t="s">
        <v>1043</v>
      </c>
      <c r="C265" s="102" t="s">
        <v>876</v>
      </c>
      <c r="D265" s="103" t="s">
        <v>5</v>
      </c>
      <c r="E265" s="104"/>
      <c r="F265" s="48">
        <v>1621</v>
      </c>
      <c r="G265" s="106">
        <f t="shared" si="85"/>
        <v>0</v>
      </c>
      <c r="H265" s="95"/>
      <c r="I265" s="95"/>
      <c r="J265" s="96"/>
      <c r="K265" s="96"/>
      <c r="L265" s="91"/>
      <c r="M265" s="91"/>
      <c r="N265" s="91"/>
      <c r="O265" s="91"/>
      <c r="P265" s="91"/>
      <c r="Q265" s="91"/>
      <c r="R265" s="97">
        <f t="shared" si="95"/>
        <v>0</v>
      </c>
      <c r="S265" s="98">
        <v>79380</v>
      </c>
      <c r="T265" s="97"/>
      <c r="U265" s="100">
        <f t="shared" ref="U265:U328" si="96">+G265*$U$7</f>
        <v>0</v>
      </c>
      <c r="V265" s="107">
        <f t="shared" ref="V265:V328" si="97">+G265+U265</f>
        <v>0</v>
      </c>
      <c r="W265" s="91"/>
      <c r="X265" s="169">
        <v>14</v>
      </c>
      <c r="Y265" s="144">
        <f t="shared" si="92"/>
        <v>1677.7349999999999</v>
      </c>
      <c r="Z265" s="106">
        <f t="shared" si="93"/>
        <v>23488</v>
      </c>
      <c r="AA265" s="106"/>
      <c r="AB265" s="106"/>
      <c r="AC265" s="106"/>
      <c r="AD265" s="108">
        <f t="shared" si="94"/>
        <v>23488</v>
      </c>
    </row>
    <row r="266" spans="1:30" ht="15" x14ac:dyDescent="0.2">
      <c r="A266" s="91">
        <v>160801</v>
      </c>
      <c r="B266" s="101" t="s">
        <v>1044</v>
      </c>
      <c r="C266" s="102" t="s">
        <v>877</v>
      </c>
      <c r="D266" s="103" t="s">
        <v>5</v>
      </c>
      <c r="E266" s="104"/>
      <c r="F266" s="48">
        <v>59100</v>
      </c>
      <c r="G266" s="106">
        <f t="shared" si="85"/>
        <v>0</v>
      </c>
      <c r="H266" s="95"/>
      <c r="I266" s="95"/>
      <c r="J266" s="96"/>
      <c r="K266" s="96"/>
      <c r="L266" s="91"/>
      <c r="M266" s="91"/>
      <c r="N266" s="91"/>
      <c r="O266" s="91"/>
      <c r="P266" s="91"/>
      <c r="Q266" s="91"/>
      <c r="R266" s="97">
        <f t="shared" si="95"/>
        <v>0</v>
      </c>
      <c r="S266" s="98">
        <v>4791447</v>
      </c>
      <c r="T266" s="97"/>
      <c r="U266" s="100">
        <f t="shared" si="96"/>
        <v>0</v>
      </c>
      <c r="V266" s="107">
        <f t="shared" si="97"/>
        <v>0</v>
      </c>
      <c r="W266" s="91"/>
      <c r="X266" s="169">
        <v>86</v>
      </c>
      <c r="Y266" s="144">
        <f t="shared" si="92"/>
        <v>61168.5</v>
      </c>
      <c r="Z266" s="106">
        <f t="shared" si="93"/>
        <v>5260491</v>
      </c>
      <c r="AA266" s="106"/>
      <c r="AB266" s="106"/>
      <c r="AC266" s="106"/>
      <c r="AD266" s="108">
        <f t="shared" si="94"/>
        <v>5260491</v>
      </c>
    </row>
    <row r="267" spans="1:30" ht="15" x14ac:dyDescent="0.2">
      <c r="A267" s="91"/>
      <c r="B267" s="101" t="s">
        <v>1045</v>
      </c>
      <c r="C267" s="102" t="s">
        <v>408</v>
      </c>
      <c r="D267" s="103" t="s">
        <v>5</v>
      </c>
      <c r="E267" s="104"/>
      <c r="F267" s="48">
        <v>73040</v>
      </c>
      <c r="G267" s="106">
        <f t="shared" si="85"/>
        <v>0</v>
      </c>
      <c r="H267" s="95"/>
      <c r="I267" s="95"/>
      <c r="J267" s="96"/>
      <c r="K267" s="96"/>
      <c r="L267" s="91"/>
      <c r="M267" s="91"/>
      <c r="N267" s="91"/>
      <c r="O267" s="91"/>
      <c r="P267" s="91"/>
      <c r="Q267" s="91"/>
      <c r="R267" s="97">
        <f t="shared" si="95"/>
        <v>0</v>
      </c>
      <c r="S267" s="98">
        <v>2070684</v>
      </c>
      <c r="T267" s="97"/>
      <c r="U267" s="100">
        <f t="shared" si="96"/>
        <v>0</v>
      </c>
      <c r="V267" s="107">
        <f t="shared" si="97"/>
        <v>0</v>
      </c>
      <c r="W267" s="91"/>
      <c r="X267" s="169">
        <v>21</v>
      </c>
      <c r="Y267" s="144">
        <f t="shared" si="92"/>
        <v>75596.399999999994</v>
      </c>
      <c r="Z267" s="106">
        <f t="shared" si="93"/>
        <v>1587524</v>
      </c>
      <c r="AA267" s="106"/>
      <c r="AB267" s="106"/>
      <c r="AC267" s="106"/>
      <c r="AD267" s="108">
        <f t="shared" si="94"/>
        <v>1587524</v>
      </c>
    </row>
    <row r="268" spans="1:30" ht="16" customHeight="1" x14ac:dyDescent="0.2">
      <c r="A268" s="146">
        <v>160619</v>
      </c>
      <c r="B268" s="101" t="s">
        <v>1046</v>
      </c>
      <c r="C268" s="102" t="s">
        <v>878</v>
      </c>
      <c r="D268" s="103" t="s">
        <v>5</v>
      </c>
      <c r="E268" s="147"/>
      <c r="F268" s="48">
        <v>467916</v>
      </c>
      <c r="G268" s="48">
        <f t="shared" ref="G268:G297" si="98">F268*E268</f>
        <v>0</v>
      </c>
      <c r="H268" s="95"/>
      <c r="I268" s="95"/>
      <c r="J268" s="96"/>
      <c r="K268" s="96"/>
      <c r="L268" s="91"/>
      <c r="M268" s="91"/>
      <c r="N268" s="91"/>
      <c r="O268" s="91"/>
      <c r="P268" s="91"/>
      <c r="Q268" s="91"/>
      <c r="R268" s="97">
        <f t="shared" si="95"/>
        <v>0</v>
      </c>
      <c r="S268" s="98">
        <v>3919590</v>
      </c>
      <c r="T268" s="97"/>
      <c r="U268" s="100">
        <f t="shared" si="96"/>
        <v>0</v>
      </c>
      <c r="V268" s="107">
        <f t="shared" si="97"/>
        <v>0</v>
      </c>
      <c r="W268" s="91"/>
      <c r="X268" s="171">
        <v>10</v>
      </c>
      <c r="Y268" s="144">
        <f t="shared" si="92"/>
        <v>484293.06</v>
      </c>
      <c r="Z268" s="106">
        <f t="shared" si="93"/>
        <v>4842931</v>
      </c>
      <c r="AA268" s="48"/>
      <c r="AB268" s="48"/>
      <c r="AC268" s="48"/>
      <c r="AD268" s="108">
        <f t="shared" si="94"/>
        <v>4842931</v>
      </c>
    </row>
    <row r="269" spans="1:30" ht="16" customHeight="1" x14ac:dyDescent="0.2">
      <c r="A269" s="146">
        <v>160655</v>
      </c>
      <c r="B269" s="101" t="s">
        <v>1047</v>
      </c>
      <c r="C269" s="102" t="s">
        <v>879</v>
      </c>
      <c r="D269" s="103" t="s">
        <v>5</v>
      </c>
      <c r="E269" s="147"/>
      <c r="F269" s="48">
        <v>297223</v>
      </c>
      <c r="G269" s="48">
        <f t="shared" si="98"/>
        <v>0</v>
      </c>
      <c r="H269" s="95"/>
      <c r="I269" s="95"/>
      <c r="J269" s="96"/>
      <c r="K269" s="96"/>
      <c r="L269" s="91"/>
      <c r="M269" s="91"/>
      <c r="N269" s="91"/>
      <c r="O269" s="91"/>
      <c r="P269" s="91"/>
      <c r="Q269" s="91"/>
      <c r="R269" s="97">
        <f t="shared" si="95"/>
        <v>0</v>
      </c>
      <c r="S269" s="98">
        <v>9548550</v>
      </c>
      <c r="T269" s="97"/>
      <c r="U269" s="100">
        <f t="shared" si="96"/>
        <v>0</v>
      </c>
      <c r="V269" s="107">
        <f t="shared" si="97"/>
        <v>0</v>
      </c>
      <c r="W269" s="91"/>
      <c r="X269" s="171">
        <v>25</v>
      </c>
      <c r="Y269" s="144">
        <f t="shared" si="92"/>
        <v>307625.80499999999</v>
      </c>
      <c r="Z269" s="106">
        <f t="shared" si="93"/>
        <v>7690645</v>
      </c>
      <c r="AA269" s="48"/>
      <c r="AB269" s="48"/>
      <c r="AC269" s="48"/>
      <c r="AD269" s="108">
        <f t="shared" si="94"/>
        <v>7690645</v>
      </c>
    </row>
    <row r="270" spans="1:30" ht="15" x14ac:dyDescent="0.2">
      <c r="A270" s="91"/>
      <c r="B270" s="111" t="s">
        <v>733</v>
      </c>
      <c r="C270" s="93" t="s">
        <v>557</v>
      </c>
      <c r="D270" s="92"/>
      <c r="E270" s="93"/>
      <c r="F270" s="113"/>
      <c r="G270" s="113">
        <f>SUM(G271)</f>
        <v>0</v>
      </c>
      <c r="H270" s="95"/>
      <c r="I270" s="95"/>
      <c r="J270" s="96"/>
      <c r="K270" s="96"/>
      <c r="L270" s="91"/>
      <c r="M270" s="91"/>
      <c r="N270" s="91"/>
      <c r="O270" s="91"/>
      <c r="P270" s="91"/>
      <c r="Q270" s="91"/>
      <c r="R270" s="97">
        <f t="shared" si="95"/>
        <v>0</v>
      </c>
      <c r="S270" s="98">
        <v>73546.099199999997</v>
      </c>
      <c r="T270" s="97"/>
      <c r="U270" s="100">
        <f t="shared" si="96"/>
        <v>0</v>
      </c>
      <c r="V270" s="107"/>
      <c r="W270" s="91"/>
      <c r="X270" s="113"/>
      <c r="Y270" s="113"/>
      <c r="Z270" s="113">
        <f>SUM(Z271)</f>
        <v>68996</v>
      </c>
      <c r="AA270" s="113"/>
      <c r="AB270" s="113"/>
      <c r="AC270" s="113"/>
      <c r="AD270" s="94">
        <f>G270+Z270+AC270</f>
        <v>68996</v>
      </c>
    </row>
    <row r="271" spans="1:30" ht="15" x14ac:dyDescent="0.2">
      <c r="A271" s="146">
        <v>250201</v>
      </c>
      <c r="B271" s="101" t="s">
        <v>734</v>
      </c>
      <c r="C271" s="102" t="s">
        <v>558</v>
      </c>
      <c r="D271" s="103" t="s">
        <v>11</v>
      </c>
      <c r="E271" s="147"/>
      <c r="F271" s="48">
        <v>5952</v>
      </c>
      <c r="G271" s="48">
        <f t="shared" ref="G271:G287" si="99">F271*E271</f>
        <v>0</v>
      </c>
      <c r="H271" s="95"/>
      <c r="I271" s="95"/>
      <c r="J271" s="96"/>
      <c r="K271" s="96"/>
      <c r="L271" s="91"/>
      <c r="M271" s="91"/>
      <c r="N271" s="91"/>
      <c r="O271" s="91"/>
      <c r="P271" s="91"/>
      <c r="Q271" s="91"/>
      <c r="R271" s="97">
        <f t="shared" si="95"/>
        <v>0</v>
      </c>
      <c r="S271" s="98">
        <v>73546.099199999997</v>
      </c>
      <c r="T271" s="97"/>
      <c r="U271" s="100">
        <f t="shared" si="96"/>
        <v>0</v>
      </c>
      <c r="V271" s="107">
        <f t="shared" si="97"/>
        <v>0</v>
      </c>
      <c r="W271" s="91"/>
      <c r="X271" s="172">
        <v>11.2</v>
      </c>
      <c r="Y271" s="144">
        <f>(F271*3.5%)+F271</f>
        <v>6160.32</v>
      </c>
      <c r="Z271" s="106">
        <f t="shared" ref="Z271" si="100">ROUND(X271*Y271,0)</f>
        <v>68996</v>
      </c>
      <c r="AA271" s="48"/>
      <c r="AB271" s="48"/>
      <c r="AC271" s="48"/>
      <c r="AD271" s="108">
        <f>G271+Z271+AC271</f>
        <v>68996</v>
      </c>
    </row>
    <row r="272" spans="1:30" ht="15" x14ac:dyDescent="0.2">
      <c r="A272" s="91"/>
      <c r="B272" s="111" t="s">
        <v>735</v>
      </c>
      <c r="C272" s="93" t="s">
        <v>560</v>
      </c>
      <c r="D272" s="92"/>
      <c r="E272" s="93"/>
      <c r="F272" s="113"/>
      <c r="G272" s="113">
        <f>SUM(G273)</f>
        <v>0</v>
      </c>
      <c r="H272" s="95"/>
      <c r="I272" s="95"/>
      <c r="J272" s="96"/>
      <c r="K272" s="96"/>
      <c r="L272" s="91"/>
      <c r="M272" s="91"/>
      <c r="N272" s="91"/>
      <c r="O272" s="91"/>
      <c r="P272" s="91"/>
      <c r="Q272" s="91"/>
      <c r="R272" s="97">
        <f t="shared" si="95"/>
        <v>0</v>
      </c>
      <c r="S272" s="98">
        <v>2716196.7167999996</v>
      </c>
      <c r="T272" s="97"/>
      <c r="U272" s="100">
        <f t="shared" si="96"/>
        <v>0</v>
      </c>
      <c r="V272" s="107"/>
      <c r="W272" s="91"/>
      <c r="X272" s="113"/>
      <c r="Y272" s="113"/>
      <c r="Z272" s="113">
        <f>SUM(Z273)</f>
        <v>2392961</v>
      </c>
      <c r="AA272" s="113"/>
      <c r="AB272" s="113"/>
      <c r="AC272" s="113"/>
      <c r="AD272" s="94">
        <f>G272+Z272+AC272</f>
        <v>2392961</v>
      </c>
    </row>
    <row r="273" spans="1:30" ht="15.75" customHeight="1" x14ac:dyDescent="0.2">
      <c r="A273" s="146">
        <v>250304</v>
      </c>
      <c r="B273" s="101" t="s">
        <v>736</v>
      </c>
      <c r="C273" s="102" t="s">
        <v>135</v>
      </c>
      <c r="D273" s="103" t="s">
        <v>5</v>
      </c>
      <c r="E273" s="147"/>
      <c r="F273" s="48">
        <v>289005</v>
      </c>
      <c r="G273" s="48">
        <f t="shared" si="99"/>
        <v>0</v>
      </c>
      <c r="H273" s="95"/>
      <c r="I273" s="95"/>
      <c r="J273" s="96"/>
      <c r="K273" s="96"/>
      <c r="L273" s="91"/>
      <c r="M273" s="91"/>
      <c r="N273" s="91"/>
      <c r="O273" s="91"/>
      <c r="P273" s="91"/>
      <c r="Q273" s="91"/>
      <c r="R273" s="97">
        <f t="shared" si="95"/>
        <v>0</v>
      </c>
      <c r="S273" s="98">
        <v>2716196.7167999996</v>
      </c>
      <c r="T273" s="97"/>
      <c r="U273" s="100">
        <f t="shared" si="96"/>
        <v>0</v>
      </c>
      <c r="V273" s="107">
        <f t="shared" si="97"/>
        <v>0</v>
      </c>
      <c r="W273" s="91"/>
      <c r="X273" s="172">
        <v>8</v>
      </c>
      <c r="Y273" s="144">
        <f>(F273*3.5%)+F273</f>
        <v>299120.17499999999</v>
      </c>
      <c r="Z273" s="106">
        <f t="shared" ref="Z273" si="101">ROUND(X273*Y273,0)</f>
        <v>2392961</v>
      </c>
      <c r="AA273" s="48"/>
      <c r="AB273" s="48"/>
      <c r="AC273" s="48"/>
      <c r="AD273" s="108">
        <f>G273+Z273+AC273</f>
        <v>2392961</v>
      </c>
    </row>
    <row r="274" spans="1:30" ht="15" x14ac:dyDescent="0.2">
      <c r="A274" s="91"/>
      <c r="B274" s="111" t="s">
        <v>737</v>
      </c>
      <c r="C274" s="93" t="s">
        <v>562</v>
      </c>
      <c r="D274" s="92"/>
      <c r="E274" s="93"/>
      <c r="F274" s="113"/>
      <c r="G274" s="113">
        <f>SUM(G275:G279)</f>
        <v>0</v>
      </c>
      <c r="H274" s="95"/>
      <c r="I274" s="95"/>
      <c r="J274" s="96"/>
      <c r="K274" s="96"/>
      <c r="L274" s="91"/>
      <c r="M274" s="91"/>
      <c r="N274" s="91"/>
      <c r="O274" s="91"/>
      <c r="P274" s="91"/>
      <c r="Q274" s="91"/>
      <c r="R274" s="97">
        <f t="shared" si="95"/>
        <v>0</v>
      </c>
      <c r="S274" s="98">
        <v>37272066.602400005</v>
      </c>
      <c r="T274" s="97"/>
      <c r="U274" s="100">
        <f t="shared" si="96"/>
        <v>0</v>
      </c>
      <c r="V274" s="107"/>
      <c r="W274" s="91"/>
      <c r="X274" s="113"/>
      <c r="Y274" s="113"/>
      <c r="Z274" s="113">
        <f>SUM(Z275:Z279)</f>
        <v>28917784</v>
      </c>
      <c r="AA274" s="113"/>
      <c r="AB274" s="113"/>
      <c r="AC274" s="113"/>
      <c r="AD274" s="94">
        <f>G274+Z274+AC274</f>
        <v>28917784</v>
      </c>
    </row>
    <row r="275" spans="1:30" ht="15.75" customHeight="1" x14ac:dyDescent="0.2">
      <c r="A275" s="146">
        <v>250403</v>
      </c>
      <c r="B275" s="101" t="s">
        <v>738</v>
      </c>
      <c r="C275" s="102" t="s">
        <v>563</v>
      </c>
      <c r="D275" s="103" t="s">
        <v>5</v>
      </c>
      <c r="E275" s="147"/>
      <c r="F275" s="48">
        <v>1229798</v>
      </c>
      <c r="G275" s="48">
        <f t="shared" ref="G275:G279" si="102">F275*E275</f>
        <v>0</v>
      </c>
      <c r="H275" s="95"/>
      <c r="I275" s="95"/>
      <c r="J275" s="96"/>
      <c r="K275" s="96"/>
      <c r="L275" s="91"/>
      <c r="M275" s="91"/>
      <c r="N275" s="91"/>
      <c r="O275" s="91"/>
      <c r="P275" s="91"/>
      <c r="Q275" s="91"/>
      <c r="R275" s="97">
        <f t="shared" si="95"/>
        <v>0</v>
      </c>
      <c r="S275" s="98">
        <v>7095366.0288000004</v>
      </c>
      <c r="T275" s="97"/>
      <c r="U275" s="100">
        <f t="shared" si="96"/>
        <v>0</v>
      </c>
      <c r="V275" s="107">
        <f t="shared" si="97"/>
        <v>0</v>
      </c>
      <c r="W275" s="91"/>
      <c r="X275" s="172">
        <v>4</v>
      </c>
      <c r="Y275" s="144">
        <f t="shared" ref="Y275:Y279" si="103">(F275*3.5%)+F275</f>
        <v>1272840.93</v>
      </c>
      <c r="Z275" s="106">
        <f t="shared" ref="Z275:Z279" si="104">ROUND(X275*Y275,0)</f>
        <v>5091364</v>
      </c>
      <c r="AA275" s="48"/>
      <c r="AB275" s="48"/>
      <c r="AC275" s="48"/>
      <c r="AD275" s="108">
        <f t="shared" ref="AD275:AD279" si="105">G275+Z275+AC275</f>
        <v>5091364</v>
      </c>
    </row>
    <row r="276" spans="1:30" ht="15" x14ac:dyDescent="0.2">
      <c r="A276" s="146">
        <v>250432</v>
      </c>
      <c r="B276" s="101" t="s">
        <v>739</v>
      </c>
      <c r="C276" s="102" t="s">
        <v>576</v>
      </c>
      <c r="D276" s="103" t="s">
        <v>5</v>
      </c>
      <c r="E276" s="147"/>
      <c r="F276" s="48">
        <v>1152110</v>
      </c>
      <c r="G276" s="48">
        <f t="shared" si="102"/>
        <v>0</v>
      </c>
      <c r="H276" s="95"/>
      <c r="I276" s="95"/>
      <c r="J276" s="96"/>
      <c r="K276" s="96"/>
      <c r="L276" s="91"/>
      <c r="M276" s="91"/>
      <c r="N276" s="91"/>
      <c r="O276" s="91"/>
      <c r="P276" s="91"/>
      <c r="Q276" s="91"/>
      <c r="R276" s="97">
        <f>(G276*0.3)+G276+(G276*0.05)</f>
        <v>0</v>
      </c>
      <c r="S276" s="98">
        <v>4103799.0335999997</v>
      </c>
      <c r="T276" s="97"/>
      <c r="U276" s="100">
        <f t="shared" si="96"/>
        <v>0</v>
      </c>
      <c r="V276" s="107">
        <f t="shared" si="97"/>
        <v>0</v>
      </c>
      <c r="W276" s="91"/>
      <c r="X276" s="172">
        <v>4</v>
      </c>
      <c r="Y276" s="144">
        <f t="shared" si="103"/>
        <v>1192433.8500000001</v>
      </c>
      <c r="Z276" s="106">
        <f t="shared" si="104"/>
        <v>4769735</v>
      </c>
      <c r="AA276" s="48"/>
      <c r="AB276" s="48"/>
      <c r="AC276" s="48"/>
      <c r="AD276" s="108">
        <f t="shared" si="105"/>
        <v>4769735</v>
      </c>
    </row>
    <row r="277" spans="1:30" ht="15" x14ac:dyDescent="0.2">
      <c r="A277" s="146">
        <v>250449</v>
      </c>
      <c r="B277" s="101" t="s">
        <v>740</v>
      </c>
      <c r="C277" s="102" t="s">
        <v>880</v>
      </c>
      <c r="D277" s="103" t="s">
        <v>5</v>
      </c>
      <c r="E277" s="147"/>
      <c r="F277" s="48">
        <v>308445</v>
      </c>
      <c r="G277" s="48">
        <f t="shared" si="102"/>
        <v>0</v>
      </c>
      <c r="H277" s="95"/>
      <c r="I277" s="95"/>
      <c r="J277" s="96"/>
      <c r="K277" s="96"/>
      <c r="L277" s="91"/>
      <c r="M277" s="91"/>
      <c r="N277" s="91"/>
      <c r="O277" s="91"/>
      <c r="P277" s="91"/>
      <c r="Q277" s="91"/>
      <c r="R277" s="97">
        <f t="shared" si="95"/>
        <v>0</v>
      </c>
      <c r="S277" s="98">
        <v>5502671.4960000003</v>
      </c>
      <c r="T277" s="97"/>
      <c r="U277" s="100">
        <f t="shared" si="96"/>
        <v>0</v>
      </c>
      <c r="V277" s="107">
        <f t="shared" si="97"/>
        <v>0</v>
      </c>
      <c r="W277" s="91"/>
      <c r="X277" s="172">
        <v>13</v>
      </c>
      <c r="Y277" s="144">
        <f t="shared" si="103"/>
        <v>319240.57500000001</v>
      </c>
      <c r="Z277" s="106">
        <f t="shared" si="104"/>
        <v>4150127</v>
      </c>
      <c r="AA277" s="48"/>
      <c r="AB277" s="48"/>
      <c r="AC277" s="48"/>
      <c r="AD277" s="108">
        <f t="shared" si="105"/>
        <v>4150127</v>
      </c>
    </row>
    <row r="278" spans="1:30" ht="15.75" customHeight="1" x14ac:dyDescent="0.2">
      <c r="A278" s="146">
        <v>250440</v>
      </c>
      <c r="B278" s="101" t="s">
        <v>741</v>
      </c>
      <c r="C278" s="102" t="s">
        <v>881</v>
      </c>
      <c r="D278" s="103" t="s">
        <v>5</v>
      </c>
      <c r="E278" s="147"/>
      <c r="F278" s="48">
        <v>1703046</v>
      </c>
      <c r="G278" s="48">
        <f t="shared" si="102"/>
        <v>0</v>
      </c>
      <c r="H278" s="95"/>
      <c r="I278" s="95"/>
      <c r="J278" s="96"/>
      <c r="K278" s="96"/>
      <c r="L278" s="91"/>
      <c r="M278" s="91"/>
      <c r="N278" s="91"/>
      <c r="O278" s="91"/>
      <c r="P278" s="91"/>
      <c r="Q278" s="91"/>
      <c r="R278" s="97">
        <f t="shared" si="95"/>
        <v>0</v>
      </c>
      <c r="S278" s="98">
        <v>10064255.292000001</v>
      </c>
      <c r="T278" s="97"/>
      <c r="U278" s="100">
        <f t="shared" si="96"/>
        <v>0</v>
      </c>
      <c r="V278" s="107">
        <f t="shared" si="97"/>
        <v>0</v>
      </c>
      <c r="W278" s="91"/>
      <c r="X278" s="172">
        <v>4</v>
      </c>
      <c r="Y278" s="144">
        <f t="shared" si="103"/>
        <v>1762652.61</v>
      </c>
      <c r="Z278" s="106">
        <f t="shared" si="104"/>
        <v>7050610</v>
      </c>
      <c r="AA278" s="48"/>
      <c r="AB278" s="48"/>
      <c r="AC278" s="48"/>
      <c r="AD278" s="108">
        <f t="shared" si="105"/>
        <v>7050610</v>
      </c>
    </row>
    <row r="279" spans="1:30" ht="15" x14ac:dyDescent="0.2">
      <c r="A279" s="148" t="s">
        <v>883</v>
      </c>
      <c r="B279" s="101" t="s">
        <v>742</v>
      </c>
      <c r="C279" s="102" t="s">
        <v>882</v>
      </c>
      <c r="D279" s="103" t="s">
        <v>5</v>
      </c>
      <c r="E279" s="147"/>
      <c r="F279" s="48">
        <v>474393</v>
      </c>
      <c r="G279" s="48">
        <f t="shared" si="102"/>
        <v>0</v>
      </c>
      <c r="H279" s="95"/>
      <c r="I279" s="95"/>
      <c r="J279" s="96"/>
      <c r="K279" s="96"/>
      <c r="L279" s="91"/>
      <c r="M279" s="91"/>
      <c r="N279" s="91"/>
      <c r="O279" s="91"/>
      <c r="P279" s="91"/>
      <c r="Q279" s="91"/>
      <c r="R279" s="97">
        <f t="shared" si="95"/>
        <v>0</v>
      </c>
      <c r="S279" s="98">
        <v>10505974.752</v>
      </c>
      <c r="T279" s="97"/>
      <c r="U279" s="100">
        <f t="shared" si="96"/>
        <v>0</v>
      </c>
      <c r="V279" s="107">
        <f t="shared" si="97"/>
        <v>0</v>
      </c>
      <c r="W279" s="91"/>
      <c r="X279" s="172">
        <v>16</v>
      </c>
      <c r="Y279" s="144">
        <f t="shared" si="103"/>
        <v>490996.755</v>
      </c>
      <c r="Z279" s="106">
        <f t="shared" si="104"/>
        <v>7855948</v>
      </c>
      <c r="AA279" s="48"/>
      <c r="AB279" s="48"/>
      <c r="AC279" s="48"/>
      <c r="AD279" s="108">
        <f t="shared" si="105"/>
        <v>7855948</v>
      </c>
    </row>
    <row r="280" spans="1:30" ht="15" x14ac:dyDescent="0.2">
      <c r="A280" s="91"/>
      <c r="B280" s="111" t="s">
        <v>743</v>
      </c>
      <c r="C280" s="93" t="s">
        <v>577</v>
      </c>
      <c r="D280" s="92"/>
      <c r="E280" s="93"/>
      <c r="F280" s="113"/>
      <c r="G280" s="113">
        <f>SUM(G281:G283)</f>
        <v>0</v>
      </c>
      <c r="H280" s="95"/>
      <c r="I280" s="95"/>
      <c r="J280" s="96"/>
      <c r="K280" s="96"/>
      <c r="L280" s="91"/>
      <c r="M280" s="91"/>
      <c r="N280" s="91"/>
      <c r="O280" s="91"/>
      <c r="P280" s="91"/>
      <c r="Q280" s="91"/>
      <c r="R280" s="97">
        <f t="shared" si="95"/>
        <v>0</v>
      </c>
      <c r="S280" s="98">
        <v>13159834.430400001</v>
      </c>
      <c r="T280" s="97"/>
      <c r="U280" s="100">
        <f t="shared" si="96"/>
        <v>0</v>
      </c>
      <c r="V280" s="107"/>
      <c r="W280" s="91"/>
      <c r="X280" s="113"/>
      <c r="Y280" s="113"/>
      <c r="Z280" s="113">
        <f>SUM(Z281:Z283)</f>
        <v>12741167</v>
      </c>
      <c r="AA280" s="113"/>
      <c r="AB280" s="113"/>
      <c r="AC280" s="113"/>
      <c r="AD280" s="94">
        <f>G280+Z280+AC280</f>
        <v>12741167</v>
      </c>
    </row>
    <row r="281" spans="1:30" ht="15.75" customHeight="1" x14ac:dyDescent="0.2">
      <c r="A281" s="146">
        <v>250530</v>
      </c>
      <c r="B281" s="101" t="s">
        <v>744</v>
      </c>
      <c r="C281" s="102" t="s">
        <v>578</v>
      </c>
      <c r="D281" s="103" t="s">
        <v>5</v>
      </c>
      <c r="E281" s="147"/>
      <c r="F281" s="48">
        <v>481495</v>
      </c>
      <c r="G281" s="48">
        <f t="shared" ref="G281:G285" si="106">F281*E281</f>
        <v>0</v>
      </c>
      <c r="H281" s="95"/>
      <c r="I281" s="95"/>
      <c r="J281" s="96"/>
      <c r="K281" s="96"/>
      <c r="L281" s="91"/>
      <c r="M281" s="91"/>
      <c r="N281" s="91"/>
      <c r="O281" s="91"/>
      <c r="P281" s="91"/>
      <c r="Q281" s="91"/>
      <c r="R281" s="97">
        <f t="shared" si="95"/>
        <v>0</v>
      </c>
      <c r="S281" s="98">
        <v>2946914.0064000003</v>
      </c>
      <c r="T281" s="97"/>
      <c r="U281" s="100">
        <f t="shared" si="96"/>
        <v>0</v>
      </c>
      <c r="V281" s="107">
        <f t="shared" si="97"/>
        <v>0</v>
      </c>
      <c r="W281" s="91"/>
      <c r="X281" s="172">
        <v>17</v>
      </c>
      <c r="Y281" s="144">
        <f t="shared" ref="Y281:Y283" si="107">(F281*3.5%)+F281</f>
        <v>498347.32500000001</v>
      </c>
      <c r="Z281" s="106">
        <f t="shared" ref="Z281:Z283" si="108">ROUND(X281*Y281,0)</f>
        <v>8471905</v>
      </c>
      <c r="AA281" s="48"/>
      <c r="AB281" s="48"/>
      <c r="AC281" s="48"/>
      <c r="AD281" s="108">
        <f t="shared" ref="AD281:AD283" si="109">G281+Z281+AC281</f>
        <v>8471905</v>
      </c>
    </row>
    <row r="282" spans="1:30" ht="15" x14ac:dyDescent="0.2">
      <c r="A282" s="146">
        <v>250510</v>
      </c>
      <c r="B282" s="101" t="s">
        <v>745</v>
      </c>
      <c r="C282" s="102" t="s">
        <v>579</v>
      </c>
      <c r="D282" s="103" t="s">
        <v>5</v>
      </c>
      <c r="E282" s="147"/>
      <c r="F282" s="48">
        <v>160495</v>
      </c>
      <c r="G282" s="48">
        <f t="shared" si="106"/>
        <v>0</v>
      </c>
      <c r="H282" s="95"/>
      <c r="I282" s="95"/>
      <c r="J282" s="96"/>
      <c r="K282" s="96"/>
      <c r="L282" s="91"/>
      <c r="M282" s="91"/>
      <c r="N282" s="91"/>
      <c r="O282" s="91"/>
      <c r="P282" s="91"/>
      <c r="Q282" s="91"/>
      <c r="R282" s="97">
        <f t="shared" si="95"/>
        <v>0</v>
      </c>
      <c r="S282" s="98">
        <v>759818.55599999998</v>
      </c>
      <c r="T282" s="97"/>
      <c r="U282" s="100">
        <f t="shared" si="96"/>
        <v>0</v>
      </c>
      <c r="V282" s="107">
        <f t="shared" si="97"/>
        <v>0</v>
      </c>
      <c r="W282" s="91"/>
      <c r="X282" s="172">
        <v>1</v>
      </c>
      <c r="Y282" s="144">
        <f t="shared" si="107"/>
        <v>166112.32500000001</v>
      </c>
      <c r="Z282" s="106">
        <f t="shared" si="108"/>
        <v>166112</v>
      </c>
      <c r="AA282" s="48"/>
      <c r="AB282" s="48"/>
      <c r="AC282" s="48"/>
      <c r="AD282" s="108">
        <f t="shared" si="109"/>
        <v>166112</v>
      </c>
    </row>
    <row r="283" spans="1:30" ht="15" x14ac:dyDescent="0.2">
      <c r="A283" s="146">
        <v>250533</v>
      </c>
      <c r="B283" s="101" t="s">
        <v>746</v>
      </c>
      <c r="C283" s="102" t="s">
        <v>580</v>
      </c>
      <c r="D283" s="103" t="s">
        <v>5</v>
      </c>
      <c r="E283" s="147"/>
      <c r="F283" s="48">
        <v>991099</v>
      </c>
      <c r="G283" s="48">
        <f t="shared" si="106"/>
        <v>0</v>
      </c>
      <c r="H283" s="95"/>
      <c r="I283" s="95"/>
      <c r="J283" s="96"/>
      <c r="K283" s="96"/>
      <c r="L283" s="91"/>
      <c r="M283" s="91"/>
      <c r="N283" s="91"/>
      <c r="O283" s="91"/>
      <c r="P283" s="91"/>
      <c r="Q283" s="91"/>
      <c r="R283" s="97">
        <f t="shared" si="95"/>
        <v>0</v>
      </c>
      <c r="S283" s="98">
        <v>7576836.4223999996</v>
      </c>
      <c r="T283" s="97"/>
      <c r="U283" s="100">
        <f t="shared" si="96"/>
        <v>0</v>
      </c>
      <c r="V283" s="107">
        <f t="shared" si="97"/>
        <v>0</v>
      </c>
      <c r="W283" s="91"/>
      <c r="X283" s="172">
        <v>4</v>
      </c>
      <c r="Y283" s="144">
        <f t="shared" si="107"/>
        <v>1025787.465</v>
      </c>
      <c r="Z283" s="106">
        <f t="shared" si="108"/>
        <v>4103150</v>
      </c>
      <c r="AA283" s="48"/>
      <c r="AB283" s="48"/>
      <c r="AC283" s="48"/>
      <c r="AD283" s="108">
        <f t="shared" si="109"/>
        <v>4103150</v>
      </c>
    </row>
    <row r="284" spans="1:30" ht="15" x14ac:dyDescent="0.2">
      <c r="A284" s="91"/>
      <c r="B284" s="111" t="s">
        <v>747</v>
      </c>
      <c r="C284" s="93" t="s">
        <v>582</v>
      </c>
      <c r="D284" s="92"/>
      <c r="E284" s="93"/>
      <c r="F284" s="113"/>
      <c r="G284" s="113">
        <f>SUM(G285:G287)</f>
        <v>0</v>
      </c>
      <c r="H284" s="95"/>
      <c r="I284" s="95"/>
      <c r="J284" s="96"/>
      <c r="K284" s="96"/>
      <c r="L284" s="91"/>
      <c r="M284" s="91"/>
      <c r="N284" s="91"/>
      <c r="O284" s="91"/>
      <c r="P284" s="91"/>
      <c r="Q284" s="91"/>
      <c r="R284" s="97">
        <f t="shared" si="95"/>
        <v>0</v>
      </c>
      <c r="S284" s="98">
        <v>10550810.995199999</v>
      </c>
      <c r="T284" s="97"/>
      <c r="U284" s="100">
        <f t="shared" si="96"/>
        <v>0</v>
      </c>
      <c r="V284" s="107"/>
      <c r="W284" s="91"/>
      <c r="X284" s="113"/>
      <c r="Y284" s="113"/>
      <c r="Z284" s="113">
        <f>SUM(Z285:Z287)</f>
        <v>9779633</v>
      </c>
      <c r="AA284" s="113"/>
      <c r="AB284" s="113"/>
      <c r="AC284" s="113"/>
      <c r="AD284" s="94">
        <f>G284+Z284+AC284</f>
        <v>9779633</v>
      </c>
    </row>
    <row r="285" spans="1:30" ht="15" x14ac:dyDescent="0.2">
      <c r="A285" s="148" t="s">
        <v>584</v>
      </c>
      <c r="B285" s="101" t="s">
        <v>748</v>
      </c>
      <c r="C285" s="102" t="s">
        <v>583</v>
      </c>
      <c r="D285" s="103" t="s">
        <v>884</v>
      </c>
      <c r="E285" s="147"/>
      <c r="F285" s="48">
        <v>98917</v>
      </c>
      <c r="G285" s="48">
        <f t="shared" si="106"/>
        <v>0</v>
      </c>
      <c r="H285" s="95"/>
      <c r="I285" s="95"/>
      <c r="J285" s="96"/>
      <c r="K285" s="96"/>
      <c r="L285" s="91"/>
      <c r="M285" s="91"/>
      <c r="N285" s="91"/>
      <c r="O285" s="91"/>
      <c r="P285" s="91"/>
      <c r="Q285" s="91"/>
      <c r="R285" s="97">
        <f t="shared" si="95"/>
        <v>0</v>
      </c>
      <c r="S285" s="98">
        <v>509447.23200000002</v>
      </c>
      <c r="T285" s="97"/>
      <c r="U285" s="100">
        <f t="shared" si="96"/>
        <v>0</v>
      </c>
      <c r="V285" s="107">
        <f t="shared" si="97"/>
        <v>0</v>
      </c>
      <c r="W285" s="91"/>
      <c r="X285" s="172">
        <v>1</v>
      </c>
      <c r="Y285" s="144">
        <f>(F285*3.5%)+F285</f>
        <v>102379.095</v>
      </c>
      <c r="Z285" s="106">
        <f t="shared" ref="Z285:Z287" si="110">ROUND(X285*Y285,0)</f>
        <v>102379</v>
      </c>
      <c r="AA285" s="48"/>
      <c r="AB285" s="48"/>
      <c r="AC285" s="48"/>
      <c r="AD285" s="108">
        <f t="shared" ref="AD285:AD287" si="111">G285+Z285+AC285</f>
        <v>102379</v>
      </c>
    </row>
    <row r="286" spans="1:30" ht="15" x14ac:dyDescent="0.2">
      <c r="A286" s="148" t="s">
        <v>585</v>
      </c>
      <c r="B286" s="101" t="s">
        <v>749</v>
      </c>
      <c r="C286" s="102" t="s">
        <v>586</v>
      </c>
      <c r="D286" s="103" t="s">
        <v>5</v>
      </c>
      <c r="E286" s="147"/>
      <c r="F286" s="48">
        <v>23931</v>
      </c>
      <c r="G286" s="48">
        <f t="shared" si="99"/>
        <v>0</v>
      </c>
      <c r="H286" s="95"/>
      <c r="I286" s="95"/>
      <c r="J286" s="96"/>
      <c r="K286" s="96"/>
      <c r="L286" s="91"/>
      <c r="M286" s="91"/>
      <c r="N286" s="91"/>
      <c r="O286" s="91"/>
      <c r="P286" s="91"/>
      <c r="Q286" s="91"/>
      <c r="R286" s="97">
        <f t="shared" si="95"/>
        <v>0</v>
      </c>
      <c r="S286" s="98">
        <v>444697.34399999998</v>
      </c>
      <c r="T286" s="97"/>
      <c r="U286" s="100">
        <f t="shared" si="96"/>
        <v>0</v>
      </c>
      <c r="V286" s="107">
        <f t="shared" si="97"/>
        <v>0</v>
      </c>
      <c r="W286" s="91"/>
      <c r="X286" s="172">
        <v>20</v>
      </c>
      <c r="Y286" s="144">
        <f>(F286*3.5%)+F286</f>
        <v>24768.584999999999</v>
      </c>
      <c r="Z286" s="106">
        <f t="shared" si="110"/>
        <v>495372</v>
      </c>
      <c r="AA286" s="48"/>
      <c r="AB286" s="48"/>
      <c r="AC286" s="48"/>
      <c r="AD286" s="108">
        <f t="shared" si="111"/>
        <v>495372</v>
      </c>
    </row>
    <row r="287" spans="1:30" ht="15" x14ac:dyDescent="0.2">
      <c r="A287" s="146">
        <v>250626</v>
      </c>
      <c r="B287" s="101" t="s">
        <v>750</v>
      </c>
      <c r="C287" s="102" t="s">
        <v>587</v>
      </c>
      <c r="D287" s="103" t="s">
        <v>5</v>
      </c>
      <c r="E287" s="147"/>
      <c r="F287" s="48">
        <v>369641</v>
      </c>
      <c r="G287" s="106">
        <f t="shared" si="99"/>
        <v>0</v>
      </c>
      <c r="H287" s="95"/>
      <c r="I287" s="95"/>
      <c r="J287" s="96"/>
      <c r="K287" s="96"/>
      <c r="L287" s="91"/>
      <c r="M287" s="91"/>
      <c r="N287" s="91"/>
      <c r="O287" s="91"/>
      <c r="P287" s="91"/>
      <c r="Q287" s="91"/>
      <c r="R287" s="97">
        <f t="shared" si="95"/>
        <v>0</v>
      </c>
      <c r="S287" s="98">
        <v>9596666.4191999994</v>
      </c>
      <c r="T287" s="97"/>
      <c r="U287" s="100">
        <f t="shared" si="96"/>
        <v>0</v>
      </c>
      <c r="V287" s="107">
        <f t="shared" si="97"/>
        <v>0</v>
      </c>
      <c r="W287" s="91"/>
      <c r="X287" s="170">
        <v>24</v>
      </c>
      <c r="Y287" s="144">
        <f>(F287*3.5%)+F287</f>
        <v>382578.435</v>
      </c>
      <c r="Z287" s="106">
        <f t="shared" si="110"/>
        <v>9181882</v>
      </c>
      <c r="AA287" s="106"/>
      <c r="AB287" s="106"/>
      <c r="AC287" s="106"/>
      <c r="AD287" s="108">
        <f t="shared" si="111"/>
        <v>9181882</v>
      </c>
    </row>
    <row r="288" spans="1:30" ht="15" x14ac:dyDescent="0.2">
      <c r="A288" s="91"/>
      <c r="B288" s="111" t="s">
        <v>1048</v>
      </c>
      <c r="C288" s="93" t="s">
        <v>590</v>
      </c>
      <c r="D288" s="92"/>
      <c r="E288" s="93"/>
      <c r="F288" s="113"/>
      <c r="G288" s="113">
        <f>SUM(G289)</f>
        <v>0</v>
      </c>
      <c r="H288" s="95"/>
      <c r="I288" s="95"/>
      <c r="J288" s="96"/>
      <c r="K288" s="96"/>
      <c r="L288" s="91"/>
      <c r="M288" s="91"/>
      <c r="N288" s="91"/>
      <c r="O288" s="91"/>
      <c r="P288" s="91"/>
      <c r="Q288" s="91"/>
      <c r="R288" s="97">
        <f t="shared" si="95"/>
        <v>0</v>
      </c>
      <c r="S288" s="98">
        <v>3817800</v>
      </c>
      <c r="T288" s="97"/>
      <c r="U288" s="100">
        <f t="shared" si="96"/>
        <v>0</v>
      </c>
      <c r="V288" s="107"/>
      <c r="W288" s="91"/>
      <c r="X288" s="113"/>
      <c r="Y288" s="113"/>
      <c r="Z288" s="113">
        <f>SUM(Z289)</f>
        <v>946652</v>
      </c>
      <c r="AA288" s="113"/>
      <c r="AB288" s="113"/>
      <c r="AC288" s="113"/>
      <c r="AD288" s="94">
        <f>G288+Z288+AC288</f>
        <v>946652</v>
      </c>
    </row>
    <row r="289" spans="1:30" ht="15" x14ac:dyDescent="0.2">
      <c r="A289" s="148" t="s">
        <v>592</v>
      </c>
      <c r="B289" s="101" t="s">
        <v>1049</v>
      </c>
      <c r="C289" s="102" t="s">
        <v>591</v>
      </c>
      <c r="D289" s="103" t="s">
        <v>5</v>
      </c>
      <c r="E289" s="147"/>
      <c r="F289" s="48">
        <v>182928</v>
      </c>
      <c r="G289" s="48">
        <f t="shared" ref="G289" si="112">F289*E289</f>
        <v>0</v>
      </c>
      <c r="H289" s="95"/>
      <c r="I289" s="95"/>
      <c r="J289" s="96"/>
      <c r="K289" s="96"/>
      <c r="L289" s="91"/>
      <c r="M289" s="91"/>
      <c r="N289" s="91"/>
      <c r="O289" s="91"/>
      <c r="P289" s="91"/>
      <c r="Q289" s="91"/>
      <c r="R289" s="97">
        <f t="shared" si="95"/>
        <v>0</v>
      </c>
      <c r="S289" s="98">
        <v>3817800</v>
      </c>
      <c r="T289" s="97"/>
      <c r="U289" s="100">
        <f t="shared" si="96"/>
        <v>0</v>
      </c>
      <c r="V289" s="107">
        <f t="shared" si="97"/>
        <v>0</v>
      </c>
      <c r="W289" s="91"/>
      <c r="X289" s="172">
        <v>5</v>
      </c>
      <c r="Y289" s="144">
        <f>(F289*3.5%)+F289</f>
        <v>189330.48</v>
      </c>
      <c r="Z289" s="106">
        <f t="shared" ref="Z289" si="113">ROUND(X289*Y289,0)</f>
        <v>946652</v>
      </c>
      <c r="AA289" s="48"/>
      <c r="AB289" s="48"/>
      <c r="AC289" s="48"/>
      <c r="AD289" s="108">
        <f>G289+Z289+AC289</f>
        <v>946652</v>
      </c>
    </row>
    <row r="290" spans="1:30" ht="15" x14ac:dyDescent="0.2">
      <c r="A290" s="91"/>
      <c r="B290" s="111" t="s">
        <v>1050</v>
      </c>
      <c r="C290" s="93" t="s">
        <v>447</v>
      </c>
      <c r="D290" s="92"/>
      <c r="E290" s="93"/>
      <c r="F290" s="113"/>
      <c r="G290" s="113">
        <f>SUM(G291:G298)</f>
        <v>0</v>
      </c>
      <c r="H290" s="95"/>
      <c r="I290" s="95"/>
      <c r="J290" s="96"/>
      <c r="K290" s="96"/>
      <c r="L290" s="91"/>
      <c r="M290" s="91"/>
      <c r="N290" s="91"/>
      <c r="O290" s="91"/>
      <c r="P290" s="91"/>
      <c r="Q290" s="91"/>
      <c r="R290" s="97">
        <f t="shared" si="95"/>
        <v>0</v>
      </c>
      <c r="S290" s="98">
        <v>57165126.095927931</v>
      </c>
      <c r="T290" s="97"/>
      <c r="U290" s="100">
        <f t="shared" si="96"/>
        <v>0</v>
      </c>
      <c r="V290" s="107"/>
      <c r="W290" s="91"/>
      <c r="X290" s="113"/>
      <c r="Y290" s="113"/>
      <c r="Z290" s="113">
        <f>SUM(Z291:Z298)</f>
        <v>40005680</v>
      </c>
      <c r="AA290" s="113"/>
      <c r="AB290" s="113"/>
      <c r="AC290" s="113"/>
      <c r="AD290" s="94">
        <f>G290+Z290+AC290</f>
        <v>40005680</v>
      </c>
    </row>
    <row r="291" spans="1:30" ht="15" x14ac:dyDescent="0.2">
      <c r="A291" s="146">
        <v>131306</v>
      </c>
      <c r="B291" s="101" t="s">
        <v>1051</v>
      </c>
      <c r="C291" s="102" t="s">
        <v>115</v>
      </c>
      <c r="D291" s="103" t="s">
        <v>21</v>
      </c>
      <c r="E291" s="147"/>
      <c r="F291" s="48">
        <v>691302</v>
      </c>
      <c r="G291" s="48">
        <f t="shared" si="98"/>
        <v>0</v>
      </c>
      <c r="H291" s="95"/>
      <c r="I291" s="95"/>
      <c r="J291" s="96"/>
      <c r="K291" s="96"/>
      <c r="L291" s="91"/>
      <c r="M291" s="91"/>
      <c r="N291" s="91"/>
      <c r="O291" s="91"/>
      <c r="P291" s="91"/>
      <c r="Q291" s="91"/>
      <c r="R291" s="97">
        <f t="shared" si="95"/>
        <v>0</v>
      </c>
      <c r="S291" s="98">
        <v>4506544.5082610399</v>
      </c>
      <c r="T291" s="97"/>
      <c r="U291" s="100">
        <f t="shared" si="96"/>
        <v>0</v>
      </c>
      <c r="V291" s="107">
        <f t="shared" si="97"/>
        <v>0</v>
      </c>
      <c r="W291" s="91"/>
      <c r="X291" s="172">
        <v>5.4621000000000004</v>
      </c>
      <c r="Y291" s="144">
        <f t="shared" ref="Y291:Y298" si="114">(F291*3.5%)+F291</f>
        <v>715497.57</v>
      </c>
      <c r="Z291" s="106">
        <f t="shared" ref="Z291:Z298" si="115">ROUND(X291*Y291,0)</f>
        <v>3908119</v>
      </c>
      <c r="AA291" s="48"/>
      <c r="AB291" s="48"/>
      <c r="AC291" s="48"/>
      <c r="AD291" s="108">
        <f t="shared" ref="AD291:AD298" si="116">G291+Z291+AC291</f>
        <v>3908119</v>
      </c>
    </row>
    <row r="292" spans="1:30" ht="15" x14ac:dyDescent="0.2">
      <c r="A292" s="146">
        <v>131304</v>
      </c>
      <c r="B292" s="101" t="s">
        <v>1052</v>
      </c>
      <c r="C292" s="102" t="s">
        <v>116</v>
      </c>
      <c r="D292" s="103" t="s">
        <v>21</v>
      </c>
      <c r="E292" s="147"/>
      <c r="F292" s="48">
        <v>1169276</v>
      </c>
      <c r="G292" s="106">
        <f t="shared" si="98"/>
        <v>0</v>
      </c>
      <c r="H292" s="95"/>
      <c r="I292" s="95"/>
      <c r="J292" s="96"/>
      <c r="K292" s="96"/>
      <c r="L292" s="91"/>
      <c r="M292" s="91"/>
      <c r="N292" s="91"/>
      <c r="O292" s="91"/>
      <c r="P292" s="91"/>
      <c r="Q292" s="91"/>
      <c r="R292" s="97">
        <f t="shared" si="95"/>
        <v>0</v>
      </c>
      <c r="S292" s="98">
        <v>16727890.658038557</v>
      </c>
      <c r="T292" s="97"/>
      <c r="U292" s="100">
        <f t="shared" si="96"/>
        <v>0</v>
      </c>
      <c r="V292" s="107">
        <f t="shared" si="97"/>
        <v>0</v>
      </c>
      <c r="W292" s="91"/>
      <c r="X292" s="170">
        <v>12.889799999999997</v>
      </c>
      <c r="Y292" s="144">
        <f t="shared" si="114"/>
        <v>1210200.6599999999</v>
      </c>
      <c r="Z292" s="106">
        <f t="shared" si="115"/>
        <v>15599244</v>
      </c>
      <c r="AA292" s="106"/>
      <c r="AB292" s="106"/>
      <c r="AC292" s="106"/>
      <c r="AD292" s="108">
        <f t="shared" si="116"/>
        <v>15599244</v>
      </c>
    </row>
    <row r="293" spans="1:30" ht="15" x14ac:dyDescent="0.2">
      <c r="A293" s="146">
        <v>130705</v>
      </c>
      <c r="B293" s="101" t="s">
        <v>1053</v>
      </c>
      <c r="C293" s="102" t="s">
        <v>462</v>
      </c>
      <c r="D293" s="103" t="s">
        <v>8</v>
      </c>
      <c r="E293" s="147"/>
      <c r="F293" s="48">
        <v>196051</v>
      </c>
      <c r="G293" s="48">
        <f t="shared" si="98"/>
        <v>0</v>
      </c>
      <c r="H293" s="95"/>
      <c r="I293" s="95"/>
      <c r="J293" s="96"/>
      <c r="K293" s="96"/>
      <c r="L293" s="91"/>
      <c r="M293" s="91"/>
      <c r="N293" s="91"/>
      <c r="O293" s="91"/>
      <c r="P293" s="91"/>
      <c r="Q293" s="91"/>
      <c r="R293" s="97">
        <f t="shared" si="95"/>
        <v>0</v>
      </c>
      <c r="S293" s="98">
        <v>2513741.9744807994</v>
      </c>
      <c r="T293" s="97"/>
      <c r="U293" s="100">
        <f t="shared" si="96"/>
        <v>0</v>
      </c>
      <c r="V293" s="107">
        <f t="shared" si="97"/>
        <v>0</v>
      </c>
      <c r="W293" s="91"/>
      <c r="X293" s="172">
        <v>10.276999999999997</v>
      </c>
      <c r="Y293" s="144">
        <f t="shared" si="114"/>
        <v>202912.785</v>
      </c>
      <c r="Z293" s="106">
        <f t="shared" si="115"/>
        <v>2085335</v>
      </c>
      <c r="AA293" s="48"/>
      <c r="AB293" s="48"/>
      <c r="AC293" s="48"/>
      <c r="AD293" s="108">
        <f t="shared" si="116"/>
        <v>2085335</v>
      </c>
    </row>
    <row r="294" spans="1:30" ht="15.75" customHeight="1" x14ac:dyDescent="0.2">
      <c r="A294" s="146"/>
      <c r="B294" s="101" t="s">
        <v>1054</v>
      </c>
      <c r="C294" s="102" t="s">
        <v>88</v>
      </c>
      <c r="D294" s="103" t="s">
        <v>8</v>
      </c>
      <c r="E294" s="147"/>
      <c r="F294" s="48">
        <v>516550</v>
      </c>
      <c r="G294" s="48">
        <f t="shared" si="98"/>
        <v>0</v>
      </c>
      <c r="H294" s="95"/>
      <c r="I294" s="95"/>
      <c r="J294" s="96"/>
      <c r="K294" s="96"/>
      <c r="L294" s="91"/>
      <c r="M294" s="91"/>
      <c r="N294" s="91"/>
      <c r="O294" s="91"/>
      <c r="P294" s="91"/>
      <c r="Q294" s="91"/>
      <c r="R294" s="97">
        <f t="shared" si="95"/>
        <v>0</v>
      </c>
      <c r="S294" s="98">
        <v>569932.44650999992</v>
      </c>
      <c r="T294" s="97"/>
      <c r="U294" s="100">
        <f t="shared" si="96"/>
        <v>0</v>
      </c>
      <c r="V294" s="107">
        <f t="shared" si="97"/>
        <v>0</v>
      </c>
      <c r="W294" s="91"/>
      <c r="X294" s="172">
        <v>0.72249999999999992</v>
      </c>
      <c r="Y294" s="144">
        <f t="shared" si="114"/>
        <v>534629.25</v>
      </c>
      <c r="Z294" s="106">
        <f t="shared" si="115"/>
        <v>386270</v>
      </c>
      <c r="AA294" s="48"/>
      <c r="AB294" s="48"/>
      <c r="AC294" s="48"/>
      <c r="AD294" s="108">
        <f t="shared" si="116"/>
        <v>386270</v>
      </c>
    </row>
    <row r="295" spans="1:30" ht="15" x14ac:dyDescent="0.2">
      <c r="A295" s="148" t="s">
        <v>152</v>
      </c>
      <c r="B295" s="101" t="s">
        <v>1055</v>
      </c>
      <c r="C295" s="102" t="s">
        <v>151</v>
      </c>
      <c r="D295" s="103" t="s">
        <v>21</v>
      </c>
      <c r="E295" s="147"/>
      <c r="F295" s="48">
        <v>34599</v>
      </c>
      <c r="G295" s="48">
        <f t="shared" si="98"/>
        <v>0</v>
      </c>
      <c r="H295" s="95"/>
      <c r="I295" s="95"/>
      <c r="J295" s="96"/>
      <c r="K295" s="96"/>
      <c r="L295" s="91"/>
      <c r="M295" s="91"/>
      <c r="N295" s="91"/>
      <c r="O295" s="91"/>
      <c r="P295" s="91"/>
      <c r="Q295" s="91"/>
      <c r="R295" s="97">
        <f t="shared" si="95"/>
        <v>0</v>
      </c>
      <c r="S295" s="98">
        <v>2040194.20155768</v>
      </c>
      <c r="T295" s="97"/>
      <c r="U295" s="100">
        <f t="shared" si="96"/>
        <v>0</v>
      </c>
      <c r="V295" s="107">
        <f t="shared" si="97"/>
        <v>0</v>
      </c>
      <c r="W295" s="91"/>
      <c r="X295" s="172">
        <v>56.441700000000004</v>
      </c>
      <c r="Y295" s="144">
        <f t="shared" si="114"/>
        <v>35809.964999999997</v>
      </c>
      <c r="Z295" s="106">
        <f t="shared" si="115"/>
        <v>2021175</v>
      </c>
      <c r="AA295" s="48"/>
      <c r="AB295" s="48"/>
      <c r="AC295" s="48"/>
      <c r="AD295" s="108">
        <f t="shared" si="116"/>
        <v>2021175</v>
      </c>
    </row>
    <row r="296" spans="1:30" ht="15" x14ac:dyDescent="0.2">
      <c r="A296" s="148" t="s">
        <v>161</v>
      </c>
      <c r="B296" s="101" t="s">
        <v>1056</v>
      </c>
      <c r="C296" s="102" t="s">
        <v>153</v>
      </c>
      <c r="D296" s="103" t="s">
        <v>21</v>
      </c>
      <c r="E296" s="147"/>
      <c r="F296" s="48">
        <v>137113</v>
      </c>
      <c r="G296" s="48">
        <f t="shared" si="98"/>
        <v>0</v>
      </c>
      <c r="H296" s="95"/>
      <c r="I296" s="95"/>
      <c r="J296" s="96"/>
      <c r="K296" s="96"/>
      <c r="L296" s="91"/>
      <c r="M296" s="91"/>
      <c r="N296" s="91"/>
      <c r="O296" s="91"/>
      <c r="P296" s="91"/>
      <c r="Q296" s="91"/>
      <c r="R296" s="97">
        <f t="shared" si="95"/>
        <v>0</v>
      </c>
      <c r="S296" s="98">
        <v>1169169.7149719999</v>
      </c>
      <c r="T296" s="97"/>
      <c r="U296" s="100">
        <f t="shared" si="96"/>
        <v>0</v>
      </c>
      <c r="V296" s="107">
        <f t="shared" si="97"/>
        <v>0</v>
      </c>
      <c r="W296" s="91"/>
      <c r="X296" s="172">
        <v>9.1035000000000004</v>
      </c>
      <c r="Y296" s="144">
        <f t="shared" si="114"/>
        <v>141911.95499999999</v>
      </c>
      <c r="Z296" s="106">
        <f t="shared" si="115"/>
        <v>1291895</v>
      </c>
      <c r="AA296" s="48"/>
      <c r="AB296" s="48"/>
      <c r="AC296" s="48"/>
      <c r="AD296" s="108">
        <f t="shared" si="116"/>
        <v>1291895</v>
      </c>
    </row>
    <row r="297" spans="1:30" ht="15" x14ac:dyDescent="0.2">
      <c r="A297" s="146">
        <v>120101</v>
      </c>
      <c r="B297" s="101" t="s">
        <v>1057</v>
      </c>
      <c r="C297" s="102" t="s">
        <v>34</v>
      </c>
      <c r="D297" s="103" t="s">
        <v>89</v>
      </c>
      <c r="E297" s="147"/>
      <c r="F297" s="48">
        <v>6590</v>
      </c>
      <c r="G297" s="106">
        <f t="shared" si="98"/>
        <v>0</v>
      </c>
      <c r="H297" s="95"/>
      <c r="I297" s="95"/>
      <c r="J297" s="96"/>
      <c r="K297" s="96"/>
      <c r="L297" s="91"/>
      <c r="M297" s="91"/>
      <c r="N297" s="91"/>
      <c r="O297" s="91"/>
      <c r="P297" s="91"/>
      <c r="Q297" s="91"/>
      <c r="R297" s="97">
        <f t="shared" si="95"/>
        <v>0</v>
      </c>
      <c r="S297" s="98">
        <v>28324182.177739866</v>
      </c>
      <c r="T297" s="97"/>
      <c r="U297" s="100">
        <f t="shared" si="96"/>
        <v>0</v>
      </c>
      <c r="V297" s="107">
        <f t="shared" si="97"/>
        <v>0</v>
      </c>
      <c r="W297" s="91"/>
      <c r="X297" s="170">
        <v>2053.9811980666668</v>
      </c>
      <c r="Y297" s="144">
        <f t="shared" si="114"/>
        <v>6820.65</v>
      </c>
      <c r="Z297" s="106">
        <f t="shared" si="115"/>
        <v>14009487</v>
      </c>
      <c r="AA297" s="106"/>
      <c r="AB297" s="106"/>
      <c r="AC297" s="106"/>
      <c r="AD297" s="108">
        <f t="shared" si="116"/>
        <v>14009487</v>
      </c>
    </row>
    <row r="298" spans="1:30" ht="15" x14ac:dyDescent="0.2">
      <c r="A298" s="146">
        <v>150307</v>
      </c>
      <c r="B298" s="101" t="s">
        <v>1058</v>
      </c>
      <c r="C298" s="102" t="s">
        <v>885</v>
      </c>
      <c r="D298" s="103" t="s">
        <v>11</v>
      </c>
      <c r="E298" s="147"/>
      <c r="F298" s="48">
        <v>36855</v>
      </c>
      <c r="G298" s="106">
        <f>F298*E298</f>
        <v>0</v>
      </c>
      <c r="H298" s="95"/>
      <c r="I298" s="95"/>
      <c r="J298" s="96"/>
      <c r="K298" s="96"/>
      <c r="L298" s="91"/>
      <c r="M298" s="91"/>
      <c r="N298" s="91"/>
      <c r="O298" s="91"/>
      <c r="P298" s="91"/>
      <c r="Q298" s="91"/>
      <c r="R298" s="97">
        <f t="shared" si="95"/>
        <v>0</v>
      </c>
      <c r="S298" s="98">
        <v>488825.61436800007</v>
      </c>
      <c r="T298" s="97"/>
      <c r="U298" s="100">
        <f t="shared" si="96"/>
        <v>0</v>
      </c>
      <c r="V298" s="107">
        <f t="shared" si="97"/>
        <v>0</v>
      </c>
      <c r="W298" s="91"/>
      <c r="X298" s="170">
        <v>18.46</v>
      </c>
      <c r="Y298" s="144">
        <f t="shared" si="114"/>
        <v>38144.925000000003</v>
      </c>
      <c r="Z298" s="106">
        <f t="shared" si="115"/>
        <v>704155</v>
      </c>
      <c r="AA298" s="106"/>
      <c r="AB298" s="106"/>
      <c r="AC298" s="106"/>
      <c r="AD298" s="108">
        <f t="shared" si="116"/>
        <v>704155</v>
      </c>
    </row>
    <row r="299" spans="1:30" ht="15" x14ac:dyDescent="0.2">
      <c r="A299" s="91"/>
      <c r="B299" s="111" t="s">
        <v>1062</v>
      </c>
      <c r="C299" s="93" t="s">
        <v>464</v>
      </c>
      <c r="D299" s="92"/>
      <c r="E299" s="93"/>
      <c r="F299" s="113"/>
      <c r="G299" s="113">
        <f>SUM(G300:G307)</f>
        <v>0</v>
      </c>
      <c r="H299" s="95"/>
      <c r="I299" s="95"/>
      <c r="J299" s="96"/>
      <c r="K299" s="96"/>
      <c r="L299" s="91"/>
      <c r="M299" s="91"/>
      <c r="N299" s="91"/>
      <c r="O299" s="91"/>
      <c r="P299" s="91"/>
      <c r="Q299" s="91"/>
      <c r="R299" s="97">
        <f t="shared" si="95"/>
        <v>0</v>
      </c>
      <c r="S299" s="98">
        <v>48873954.217930451</v>
      </c>
      <c r="T299" s="97"/>
      <c r="U299" s="100">
        <f t="shared" si="96"/>
        <v>0</v>
      </c>
      <c r="V299" s="107"/>
      <c r="W299" s="91"/>
      <c r="X299" s="113"/>
      <c r="Y299" s="113"/>
      <c r="Z299" s="113">
        <f>SUM(Z300:Z307)</f>
        <v>34219629</v>
      </c>
      <c r="AA299" s="113"/>
      <c r="AB299" s="113"/>
      <c r="AC299" s="113"/>
      <c r="AD299" s="94">
        <f>G299+Z299+AC299</f>
        <v>34219629</v>
      </c>
    </row>
    <row r="300" spans="1:30" ht="15" x14ac:dyDescent="0.2">
      <c r="A300" s="146">
        <v>131306</v>
      </c>
      <c r="B300" s="101" t="s">
        <v>1063</v>
      </c>
      <c r="C300" s="102" t="s">
        <v>115</v>
      </c>
      <c r="D300" s="103" t="s">
        <v>21</v>
      </c>
      <c r="E300" s="147"/>
      <c r="F300" s="48">
        <v>691302</v>
      </c>
      <c r="G300" s="48">
        <f t="shared" ref="G300:G306" si="117">F300*E300</f>
        <v>0</v>
      </c>
      <c r="H300" s="95"/>
      <c r="I300" s="95"/>
      <c r="J300" s="96"/>
      <c r="K300" s="96"/>
      <c r="L300" s="91"/>
      <c r="M300" s="91"/>
      <c r="N300" s="91"/>
      <c r="O300" s="91"/>
      <c r="P300" s="91"/>
      <c r="Q300" s="91"/>
      <c r="R300" s="97">
        <f t="shared" si="95"/>
        <v>0</v>
      </c>
      <c r="S300" s="98">
        <v>3804833.42565984</v>
      </c>
      <c r="T300" s="97"/>
      <c r="U300" s="100">
        <f t="shared" si="96"/>
        <v>0</v>
      </c>
      <c r="V300" s="107">
        <f t="shared" si="97"/>
        <v>0</v>
      </c>
      <c r="W300" s="91"/>
      <c r="X300" s="172">
        <v>4.6116000000000001</v>
      </c>
      <c r="Y300" s="144">
        <f t="shared" ref="Y300:Y307" si="118">(F300*3.5%)+F300</f>
        <v>715497.57</v>
      </c>
      <c r="Z300" s="106">
        <f t="shared" ref="Z300:Z307" si="119">ROUND(X300*Y300,0)</f>
        <v>3299589</v>
      </c>
      <c r="AA300" s="48"/>
      <c r="AB300" s="48"/>
      <c r="AC300" s="48"/>
      <c r="AD300" s="108">
        <f t="shared" ref="AD300:AD307" si="120">G300+Z300+AC300</f>
        <v>3299589</v>
      </c>
    </row>
    <row r="301" spans="1:30" ht="15" x14ac:dyDescent="0.2">
      <c r="A301" s="146">
        <v>131304</v>
      </c>
      <c r="B301" s="101" t="s">
        <v>1064</v>
      </c>
      <c r="C301" s="102" t="s">
        <v>116</v>
      </c>
      <c r="D301" s="103" t="s">
        <v>21</v>
      </c>
      <c r="E301" s="147"/>
      <c r="F301" s="48">
        <v>1169276</v>
      </c>
      <c r="G301" s="106">
        <f t="shared" si="117"/>
        <v>0</v>
      </c>
      <c r="H301" s="95"/>
      <c r="I301" s="95"/>
      <c r="J301" s="96"/>
      <c r="K301" s="96"/>
      <c r="L301" s="91"/>
      <c r="M301" s="91"/>
      <c r="N301" s="91"/>
      <c r="O301" s="91"/>
      <c r="P301" s="91"/>
      <c r="Q301" s="91"/>
      <c r="R301" s="97">
        <f t="shared" si="95"/>
        <v>0</v>
      </c>
      <c r="S301" s="98">
        <v>14555437.325825758</v>
      </c>
      <c r="T301" s="97"/>
      <c r="U301" s="100">
        <f t="shared" si="96"/>
        <v>0</v>
      </c>
      <c r="V301" s="107">
        <f t="shared" si="97"/>
        <v>0</v>
      </c>
      <c r="W301" s="91"/>
      <c r="X301" s="170">
        <v>11.2158</v>
      </c>
      <c r="Y301" s="144">
        <f t="shared" si="118"/>
        <v>1210200.6599999999</v>
      </c>
      <c r="Z301" s="106">
        <f t="shared" si="119"/>
        <v>13573369</v>
      </c>
      <c r="AA301" s="106"/>
      <c r="AB301" s="106"/>
      <c r="AC301" s="106"/>
      <c r="AD301" s="108">
        <f t="shared" si="120"/>
        <v>13573369</v>
      </c>
    </row>
    <row r="302" spans="1:30" ht="15" x14ac:dyDescent="0.2">
      <c r="A302" s="146">
        <v>130705</v>
      </c>
      <c r="B302" s="101" t="s">
        <v>1065</v>
      </c>
      <c r="C302" s="102" t="s">
        <v>462</v>
      </c>
      <c r="D302" s="103" t="s">
        <v>8</v>
      </c>
      <c r="E302" s="147"/>
      <c r="F302" s="48">
        <v>196051</v>
      </c>
      <c r="G302" s="48">
        <f t="shared" si="117"/>
        <v>0</v>
      </c>
      <c r="H302" s="95"/>
      <c r="I302" s="95"/>
      <c r="J302" s="96"/>
      <c r="K302" s="96"/>
      <c r="L302" s="91"/>
      <c r="M302" s="91"/>
      <c r="N302" s="91"/>
      <c r="O302" s="91"/>
      <c r="P302" s="91"/>
      <c r="Q302" s="91"/>
      <c r="R302" s="97">
        <f t="shared" si="95"/>
        <v>0</v>
      </c>
      <c r="S302" s="98">
        <v>2040443.2763568</v>
      </c>
      <c r="T302" s="97"/>
      <c r="U302" s="100">
        <f t="shared" si="96"/>
        <v>0</v>
      </c>
      <c r="V302" s="107">
        <f t="shared" si="97"/>
        <v>0</v>
      </c>
      <c r="W302" s="91"/>
      <c r="X302" s="172">
        <v>8.3419999999999987</v>
      </c>
      <c r="Y302" s="144">
        <f t="shared" si="118"/>
        <v>202912.785</v>
      </c>
      <c r="Z302" s="106">
        <f t="shared" si="119"/>
        <v>1692698</v>
      </c>
      <c r="AA302" s="48"/>
      <c r="AB302" s="48"/>
      <c r="AC302" s="48"/>
      <c r="AD302" s="108">
        <f t="shared" si="120"/>
        <v>1692698</v>
      </c>
    </row>
    <row r="303" spans="1:30" ht="15.75" customHeight="1" x14ac:dyDescent="0.2">
      <c r="A303" s="146"/>
      <c r="B303" s="101" t="s">
        <v>1066</v>
      </c>
      <c r="C303" s="102" t="s">
        <v>88</v>
      </c>
      <c r="D303" s="103" t="s">
        <v>8</v>
      </c>
      <c r="E303" s="147"/>
      <c r="F303" s="48">
        <v>516550</v>
      </c>
      <c r="G303" s="48">
        <f t="shared" si="117"/>
        <v>0</v>
      </c>
      <c r="H303" s="95"/>
      <c r="I303" s="95"/>
      <c r="J303" s="96"/>
      <c r="K303" s="96"/>
      <c r="L303" s="91"/>
      <c r="M303" s="91"/>
      <c r="N303" s="91"/>
      <c r="O303" s="91"/>
      <c r="P303" s="91"/>
      <c r="Q303" s="91"/>
      <c r="R303" s="97">
        <f t="shared" si="95"/>
        <v>0</v>
      </c>
      <c r="S303" s="98">
        <v>569932.44650999992</v>
      </c>
      <c r="T303" s="97"/>
      <c r="U303" s="100">
        <f t="shared" si="96"/>
        <v>0</v>
      </c>
      <c r="V303" s="107">
        <f t="shared" si="97"/>
        <v>0</v>
      </c>
      <c r="W303" s="91"/>
      <c r="X303" s="172">
        <v>0.72249999999999992</v>
      </c>
      <c r="Y303" s="144">
        <f t="shared" si="118"/>
        <v>534629.25</v>
      </c>
      <c r="Z303" s="106">
        <f t="shared" si="119"/>
        <v>386270</v>
      </c>
      <c r="AA303" s="48"/>
      <c r="AB303" s="48"/>
      <c r="AC303" s="48"/>
      <c r="AD303" s="108">
        <f t="shared" si="120"/>
        <v>386270</v>
      </c>
    </row>
    <row r="304" spans="1:30" ht="15" x14ac:dyDescent="0.2">
      <c r="A304" s="148" t="s">
        <v>152</v>
      </c>
      <c r="B304" s="101" t="s">
        <v>1067</v>
      </c>
      <c r="C304" s="102" t="s">
        <v>151</v>
      </c>
      <c r="D304" s="103" t="s">
        <v>21</v>
      </c>
      <c r="E304" s="147"/>
      <c r="F304" s="48">
        <v>34599</v>
      </c>
      <c r="G304" s="48">
        <f t="shared" si="117"/>
        <v>0</v>
      </c>
      <c r="H304" s="95"/>
      <c r="I304" s="95"/>
      <c r="J304" s="96"/>
      <c r="K304" s="96"/>
      <c r="L304" s="91"/>
      <c r="M304" s="91"/>
      <c r="N304" s="91"/>
      <c r="O304" s="91"/>
      <c r="P304" s="91"/>
      <c r="Q304" s="91"/>
      <c r="R304" s="97">
        <f t="shared" si="95"/>
        <v>0</v>
      </c>
      <c r="S304" s="98">
        <v>1722516.9037372798</v>
      </c>
      <c r="T304" s="97"/>
      <c r="U304" s="100">
        <f t="shared" si="96"/>
        <v>0</v>
      </c>
      <c r="V304" s="107">
        <f t="shared" si="97"/>
        <v>0</v>
      </c>
      <c r="W304" s="91"/>
      <c r="X304" s="172">
        <v>47.653199999999998</v>
      </c>
      <c r="Y304" s="144">
        <f t="shared" si="118"/>
        <v>35809.964999999997</v>
      </c>
      <c r="Z304" s="106">
        <f t="shared" si="119"/>
        <v>1706459</v>
      </c>
      <c r="AA304" s="48"/>
      <c r="AB304" s="48"/>
      <c r="AC304" s="48"/>
      <c r="AD304" s="108">
        <f t="shared" si="120"/>
        <v>1706459</v>
      </c>
    </row>
    <row r="305" spans="1:30" ht="15" x14ac:dyDescent="0.2">
      <c r="A305" s="148" t="s">
        <v>161</v>
      </c>
      <c r="B305" s="101" t="s">
        <v>1068</v>
      </c>
      <c r="C305" s="102" t="s">
        <v>153</v>
      </c>
      <c r="D305" s="103" t="s">
        <v>21</v>
      </c>
      <c r="E305" s="147"/>
      <c r="F305" s="48">
        <v>137113</v>
      </c>
      <c r="G305" s="48">
        <f t="shared" si="117"/>
        <v>0</v>
      </c>
      <c r="H305" s="95"/>
      <c r="I305" s="95"/>
      <c r="J305" s="96"/>
      <c r="K305" s="96"/>
      <c r="L305" s="91"/>
      <c r="M305" s="91"/>
      <c r="N305" s="91"/>
      <c r="O305" s="91"/>
      <c r="P305" s="91"/>
      <c r="Q305" s="91"/>
      <c r="R305" s="97">
        <f t="shared" si="95"/>
        <v>0</v>
      </c>
      <c r="S305" s="98">
        <v>987119.06731199997</v>
      </c>
      <c r="T305" s="97"/>
      <c r="U305" s="100">
        <f t="shared" si="96"/>
        <v>0</v>
      </c>
      <c r="V305" s="107">
        <f t="shared" si="97"/>
        <v>0</v>
      </c>
      <c r="W305" s="91"/>
      <c r="X305" s="172">
        <v>7.6859999999999999</v>
      </c>
      <c r="Y305" s="144">
        <f t="shared" si="118"/>
        <v>141911.95499999999</v>
      </c>
      <c r="Z305" s="106">
        <f t="shared" si="119"/>
        <v>1090735</v>
      </c>
      <c r="AA305" s="48"/>
      <c r="AB305" s="48"/>
      <c r="AC305" s="48"/>
      <c r="AD305" s="108">
        <f t="shared" si="120"/>
        <v>1090735</v>
      </c>
    </row>
    <row r="306" spans="1:30" ht="15" x14ac:dyDescent="0.2">
      <c r="A306" s="146">
        <v>120101</v>
      </c>
      <c r="B306" s="101" t="s">
        <v>1069</v>
      </c>
      <c r="C306" s="102" t="s">
        <v>34</v>
      </c>
      <c r="D306" s="103" t="s">
        <v>89</v>
      </c>
      <c r="E306" s="147"/>
      <c r="F306" s="48">
        <v>6590</v>
      </c>
      <c r="G306" s="106">
        <f t="shared" si="117"/>
        <v>0</v>
      </c>
      <c r="H306" s="95"/>
      <c r="I306" s="95"/>
      <c r="J306" s="96"/>
      <c r="K306" s="96"/>
      <c r="L306" s="91"/>
      <c r="M306" s="91"/>
      <c r="N306" s="91"/>
      <c r="O306" s="91"/>
      <c r="P306" s="91"/>
      <c r="Q306" s="91"/>
      <c r="R306" s="97">
        <f t="shared" si="95"/>
        <v>0</v>
      </c>
      <c r="S306" s="98">
        <v>23927865.827600766</v>
      </c>
      <c r="T306" s="97"/>
      <c r="U306" s="100">
        <f t="shared" si="96"/>
        <v>0</v>
      </c>
      <c r="V306" s="107">
        <f t="shared" si="97"/>
        <v>0</v>
      </c>
      <c r="W306" s="91"/>
      <c r="X306" s="170">
        <v>1735.1740718000003</v>
      </c>
      <c r="Y306" s="144">
        <f t="shared" si="118"/>
        <v>6820.65</v>
      </c>
      <c r="Z306" s="106">
        <f t="shared" si="119"/>
        <v>11835015</v>
      </c>
      <c r="AA306" s="106"/>
      <c r="AB306" s="106"/>
      <c r="AC306" s="106"/>
      <c r="AD306" s="108">
        <f t="shared" si="120"/>
        <v>11835015</v>
      </c>
    </row>
    <row r="307" spans="1:30" ht="15" x14ac:dyDescent="0.2">
      <c r="A307" s="146">
        <v>150307</v>
      </c>
      <c r="B307" s="101" t="s">
        <v>1070</v>
      </c>
      <c r="C307" s="102" t="s">
        <v>885</v>
      </c>
      <c r="D307" s="103" t="s">
        <v>11</v>
      </c>
      <c r="E307" s="147"/>
      <c r="F307" s="48">
        <v>36855</v>
      </c>
      <c r="G307" s="106">
        <f>F307*E307</f>
        <v>0</v>
      </c>
      <c r="H307" s="95"/>
      <c r="I307" s="95"/>
      <c r="J307" s="96"/>
      <c r="K307" s="96"/>
      <c r="L307" s="91"/>
      <c r="M307" s="91"/>
      <c r="N307" s="91"/>
      <c r="O307" s="91"/>
      <c r="P307" s="91"/>
      <c r="Q307" s="91"/>
      <c r="R307" s="97">
        <f t="shared" si="95"/>
        <v>0</v>
      </c>
      <c r="S307" s="98">
        <v>441161.14492799994</v>
      </c>
      <c r="T307" s="97"/>
      <c r="U307" s="100">
        <f t="shared" si="96"/>
        <v>0</v>
      </c>
      <c r="V307" s="107">
        <f t="shared" si="97"/>
        <v>0</v>
      </c>
      <c r="W307" s="91"/>
      <c r="X307" s="170">
        <v>16.659999999999997</v>
      </c>
      <c r="Y307" s="144">
        <f t="shared" si="118"/>
        <v>38144.925000000003</v>
      </c>
      <c r="Z307" s="106">
        <f t="shared" si="119"/>
        <v>635494</v>
      </c>
      <c r="AA307" s="106"/>
      <c r="AB307" s="106"/>
      <c r="AC307" s="106"/>
      <c r="AD307" s="108">
        <f t="shared" si="120"/>
        <v>635494</v>
      </c>
    </row>
    <row r="308" spans="1:30" ht="15" x14ac:dyDescent="0.2">
      <c r="A308" s="91"/>
      <c r="B308" s="111" t="s">
        <v>1071</v>
      </c>
      <c r="C308" s="93" t="s">
        <v>471</v>
      </c>
      <c r="D308" s="92"/>
      <c r="E308" s="93"/>
      <c r="F308" s="113"/>
      <c r="G308" s="113">
        <f>SUM(G309:G316)</f>
        <v>0</v>
      </c>
      <c r="H308" s="95"/>
      <c r="I308" s="95"/>
      <c r="J308" s="96"/>
      <c r="K308" s="96"/>
      <c r="L308" s="91"/>
      <c r="M308" s="91"/>
      <c r="N308" s="91"/>
      <c r="O308" s="91"/>
      <c r="P308" s="91"/>
      <c r="Q308" s="91"/>
      <c r="R308" s="97">
        <f t="shared" si="95"/>
        <v>0</v>
      </c>
      <c r="S308" s="98">
        <v>120172349.21538971</v>
      </c>
      <c r="T308" s="97"/>
      <c r="U308" s="100">
        <f t="shared" si="96"/>
        <v>0</v>
      </c>
      <c r="V308" s="107"/>
      <c r="W308" s="91"/>
      <c r="X308" s="113"/>
      <c r="Y308" s="113"/>
      <c r="Z308" s="113">
        <f>SUM(Z309:Z316)</f>
        <v>83158426</v>
      </c>
      <c r="AA308" s="113"/>
      <c r="AB308" s="113"/>
      <c r="AC308" s="113"/>
      <c r="AD308" s="94">
        <f>G308+Z308+AC308</f>
        <v>83158426</v>
      </c>
    </row>
    <row r="309" spans="1:30" ht="15" x14ac:dyDescent="0.2">
      <c r="A309" s="146">
        <v>131306</v>
      </c>
      <c r="B309" s="101" t="s">
        <v>1072</v>
      </c>
      <c r="C309" s="102" t="s">
        <v>115</v>
      </c>
      <c r="D309" s="103" t="s">
        <v>21</v>
      </c>
      <c r="E309" s="147"/>
      <c r="F309" s="48">
        <v>691302</v>
      </c>
      <c r="G309" s="48">
        <f t="shared" ref="G309:G315" si="121">F309*E309</f>
        <v>0</v>
      </c>
      <c r="H309" s="95"/>
      <c r="I309" s="95"/>
      <c r="J309" s="96"/>
      <c r="K309" s="96"/>
      <c r="L309" s="91"/>
      <c r="M309" s="91"/>
      <c r="N309" s="91"/>
      <c r="O309" s="91"/>
      <c r="P309" s="91"/>
      <c r="Q309" s="91"/>
      <c r="R309" s="97">
        <f t="shared" si="95"/>
        <v>0</v>
      </c>
      <c r="S309" s="98">
        <v>3804833.42565984</v>
      </c>
      <c r="T309" s="97"/>
      <c r="U309" s="100">
        <f t="shared" si="96"/>
        <v>0</v>
      </c>
      <c r="V309" s="107">
        <f t="shared" si="97"/>
        <v>0</v>
      </c>
      <c r="W309" s="91"/>
      <c r="X309" s="172">
        <v>4.6116000000000001</v>
      </c>
      <c r="Y309" s="144">
        <f t="shared" ref="Y309:Y316" si="122">(F309*3.5%)+F309</f>
        <v>715497.57</v>
      </c>
      <c r="Z309" s="106">
        <f t="shared" ref="Z309:Z316" si="123">ROUND(X309*Y309,0)</f>
        <v>3299589</v>
      </c>
      <c r="AA309" s="48"/>
      <c r="AB309" s="48"/>
      <c r="AC309" s="48"/>
      <c r="AD309" s="108">
        <f t="shared" ref="AD309:AD315" si="124">G309+Z309+AC309</f>
        <v>3299589</v>
      </c>
    </row>
    <row r="310" spans="1:30" ht="15" x14ac:dyDescent="0.2">
      <c r="A310" s="146">
        <v>131304</v>
      </c>
      <c r="B310" s="101" t="s">
        <v>1073</v>
      </c>
      <c r="C310" s="102" t="s">
        <v>116</v>
      </c>
      <c r="D310" s="103" t="s">
        <v>21</v>
      </c>
      <c r="E310" s="147"/>
      <c r="F310" s="48">
        <v>1169276</v>
      </c>
      <c r="G310" s="106">
        <f t="shared" si="121"/>
        <v>0</v>
      </c>
      <c r="H310" s="95"/>
      <c r="I310" s="95"/>
      <c r="J310" s="96"/>
      <c r="K310" s="96"/>
      <c r="L310" s="91"/>
      <c r="M310" s="91"/>
      <c r="N310" s="91"/>
      <c r="O310" s="91"/>
      <c r="P310" s="91"/>
      <c r="Q310" s="91"/>
      <c r="R310" s="97">
        <f t="shared" si="95"/>
        <v>0</v>
      </c>
      <c r="S310" s="98">
        <v>33854064.426982798</v>
      </c>
      <c r="T310" s="97"/>
      <c r="U310" s="100">
        <f t="shared" si="96"/>
        <v>0</v>
      </c>
      <c r="V310" s="107">
        <f t="shared" si="97"/>
        <v>0</v>
      </c>
      <c r="W310" s="91"/>
      <c r="X310" s="170">
        <v>26.086499999999997</v>
      </c>
      <c r="Y310" s="144">
        <f t="shared" si="122"/>
        <v>1210200.6599999999</v>
      </c>
      <c r="Z310" s="106">
        <f t="shared" si="123"/>
        <v>31569900</v>
      </c>
      <c r="AA310" s="106"/>
      <c r="AB310" s="106"/>
      <c r="AC310" s="106"/>
      <c r="AD310" s="108">
        <f t="shared" si="124"/>
        <v>31569900</v>
      </c>
    </row>
    <row r="311" spans="1:30" ht="15" x14ac:dyDescent="0.2">
      <c r="A311" s="146">
        <v>130705</v>
      </c>
      <c r="B311" s="101" t="s">
        <v>1074</v>
      </c>
      <c r="C311" s="102" t="s">
        <v>462</v>
      </c>
      <c r="D311" s="103" t="s">
        <v>8</v>
      </c>
      <c r="E311" s="147"/>
      <c r="F311" s="48">
        <v>196051</v>
      </c>
      <c r="G311" s="48">
        <f t="shared" si="121"/>
        <v>0</v>
      </c>
      <c r="H311" s="95"/>
      <c r="I311" s="95"/>
      <c r="J311" s="96"/>
      <c r="K311" s="96"/>
      <c r="L311" s="91"/>
      <c r="M311" s="91"/>
      <c r="N311" s="91"/>
      <c r="O311" s="91"/>
      <c r="P311" s="91"/>
      <c r="Q311" s="91"/>
      <c r="R311" s="97">
        <f t="shared" si="95"/>
        <v>0</v>
      </c>
      <c r="S311" s="98">
        <v>7798421.572577998</v>
      </c>
      <c r="T311" s="97"/>
      <c r="U311" s="100">
        <f t="shared" si="96"/>
        <v>0</v>
      </c>
      <c r="V311" s="107">
        <f t="shared" si="97"/>
        <v>0</v>
      </c>
      <c r="W311" s="91"/>
      <c r="X311" s="172">
        <v>31.882499999999993</v>
      </c>
      <c r="Y311" s="144">
        <f t="shared" si="122"/>
        <v>202912.785</v>
      </c>
      <c r="Z311" s="106">
        <f t="shared" si="123"/>
        <v>6469367</v>
      </c>
      <c r="AA311" s="48"/>
      <c r="AB311" s="48"/>
      <c r="AC311" s="48"/>
      <c r="AD311" s="108">
        <f t="shared" si="124"/>
        <v>6469367</v>
      </c>
    </row>
    <row r="312" spans="1:30" ht="15.75" customHeight="1" x14ac:dyDescent="0.2">
      <c r="A312" s="146"/>
      <c r="B312" s="101" t="s">
        <v>1075</v>
      </c>
      <c r="C312" s="102" t="s">
        <v>88</v>
      </c>
      <c r="D312" s="103" t="s">
        <v>8</v>
      </c>
      <c r="E312" s="147"/>
      <c r="F312" s="48">
        <v>516550</v>
      </c>
      <c r="G312" s="48">
        <f t="shared" si="121"/>
        <v>0</v>
      </c>
      <c r="H312" s="95"/>
      <c r="I312" s="95"/>
      <c r="J312" s="96"/>
      <c r="K312" s="96"/>
      <c r="L312" s="91"/>
      <c r="M312" s="91"/>
      <c r="N312" s="91"/>
      <c r="O312" s="91"/>
      <c r="P312" s="91"/>
      <c r="Q312" s="91"/>
      <c r="R312" s="97">
        <f t="shared" si="95"/>
        <v>0</v>
      </c>
      <c r="S312" s="98">
        <v>1139864.8930199998</v>
      </c>
      <c r="T312" s="97"/>
      <c r="U312" s="100">
        <f t="shared" si="96"/>
        <v>0</v>
      </c>
      <c r="V312" s="107">
        <f t="shared" si="97"/>
        <v>0</v>
      </c>
      <c r="W312" s="91"/>
      <c r="X312" s="172">
        <v>1.4449999999999998</v>
      </c>
      <c r="Y312" s="144">
        <f t="shared" si="122"/>
        <v>534629.25</v>
      </c>
      <c r="Z312" s="106">
        <f t="shared" si="123"/>
        <v>772539</v>
      </c>
      <c r="AA312" s="48"/>
      <c r="AB312" s="48"/>
      <c r="AC312" s="48"/>
      <c r="AD312" s="108">
        <f t="shared" si="124"/>
        <v>772539</v>
      </c>
    </row>
    <row r="313" spans="1:30" ht="15" x14ac:dyDescent="0.2">
      <c r="A313" s="148" t="s">
        <v>152</v>
      </c>
      <c r="B313" s="101" t="s">
        <v>1076</v>
      </c>
      <c r="C313" s="102" t="s">
        <v>151</v>
      </c>
      <c r="D313" s="103" t="s">
        <v>21</v>
      </c>
      <c r="E313" s="147"/>
      <c r="F313" s="48">
        <v>34599</v>
      </c>
      <c r="G313" s="48">
        <f t="shared" si="121"/>
        <v>0</v>
      </c>
      <c r="H313" s="95"/>
      <c r="I313" s="95"/>
      <c r="J313" s="96"/>
      <c r="K313" s="96"/>
      <c r="L313" s="91"/>
      <c r="M313" s="91"/>
      <c r="N313" s="91"/>
      <c r="O313" s="91"/>
      <c r="P313" s="91"/>
      <c r="Q313" s="91"/>
      <c r="R313" s="97">
        <f t="shared" si="95"/>
        <v>0</v>
      </c>
      <c r="S313" s="98">
        <v>5181165.4525470007</v>
      </c>
      <c r="T313" s="97"/>
      <c r="U313" s="100">
        <f t="shared" si="96"/>
        <v>0</v>
      </c>
      <c r="V313" s="107">
        <f t="shared" si="97"/>
        <v>0</v>
      </c>
      <c r="W313" s="91"/>
      <c r="X313" s="172">
        <v>143.33625000000001</v>
      </c>
      <c r="Y313" s="144">
        <f t="shared" si="122"/>
        <v>35809.964999999997</v>
      </c>
      <c r="Z313" s="106">
        <f t="shared" si="123"/>
        <v>5132866</v>
      </c>
      <c r="AA313" s="48"/>
      <c r="AB313" s="48"/>
      <c r="AC313" s="48"/>
      <c r="AD313" s="108">
        <f t="shared" si="124"/>
        <v>5132866</v>
      </c>
    </row>
    <row r="314" spans="1:30" ht="15" x14ac:dyDescent="0.2">
      <c r="A314" s="148" t="s">
        <v>161</v>
      </c>
      <c r="B314" s="101" t="s">
        <v>1077</v>
      </c>
      <c r="C314" s="102" t="s">
        <v>153</v>
      </c>
      <c r="D314" s="103" t="s">
        <v>21</v>
      </c>
      <c r="E314" s="147"/>
      <c r="F314" s="48">
        <v>137113</v>
      </c>
      <c r="G314" s="48">
        <f t="shared" si="121"/>
        <v>0</v>
      </c>
      <c r="H314" s="95"/>
      <c r="I314" s="95"/>
      <c r="J314" s="96"/>
      <c r="K314" s="96"/>
      <c r="L314" s="91"/>
      <c r="M314" s="91"/>
      <c r="N314" s="91"/>
      <c r="O314" s="91"/>
      <c r="P314" s="91"/>
      <c r="Q314" s="91"/>
      <c r="R314" s="97">
        <f t="shared" si="95"/>
        <v>0</v>
      </c>
      <c r="S314" s="98">
        <v>2969159.3725499995</v>
      </c>
      <c r="T314" s="97"/>
      <c r="U314" s="100">
        <f t="shared" si="96"/>
        <v>0</v>
      </c>
      <c r="V314" s="107">
        <f t="shared" si="97"/>
        <v>0</v>
      </c>
      <c r="W314" s="91"/>
      <c r="X314" s="172">
        <v>23.118749999999999</v>
      </c>
      <c r="Y314" s="144">
        <f t="shared" si="122"/>
        <v>141911.95499999999</v>
      </c>
      <c r="Z314" s="106">
        <f t="shared" si="123"/>
        <v>3280827</v>
      </c>
      <c r="AA314" s="48"/>
      <c r="AB314" s="48"/>
      <c r="AC314" s="48"/>
      <c r="AD314" s="108">
        <f t="shared" si="124"/>
        <v>3280827</v>
      </c>
    </row>
    <row r="315" spans="1:30" ht="15" x14ac:dyDescent="0.2">
      <c r="A315" s="146">
        <v>120101</v>
      </c>
      <c r="B315" s="101" t="s">
        <v>1078</v>
      </c>
      <c r="C315" s="102" t="s">
        <v>34</v>
      </c>
      <c r="D315" s="103" t="s">
        <v>89</v>
      </c>
      <c r="E315" s="147"/>
      <c r="F315" s="48">
        <v>6590</v>
      </c>
      <c r="G315" s="106">
        <f t="shared" si="121"/>
        <v>0</v>
      </c>
      <c r="H315" s="95"/>
      <c r="I315" s="95"/>
      <c r="J315" s="96"/>
      <c r="K315" s="96"/>
      <c r="L315" s="91"/>
      <c r="M315" s="91"/>
      <c r="N315" s="91"/>
      <c r="O315" s="91"/>
      <c r="P315" s="91"/>
      <c r="Q315" s="91"/>
      <c r="R315" s="97">
        <f t="shared" ref="R315:R376" si="125">(G315*0.3)+G315+(G315*0.05)</f>
        <v>0</v>
      </c>
      <c r="S315" s="98">
        <v>63879932.178292058</v>
      </c>
      <c r="T315" s="97"/>
      <c r="U315" s="100">
        <f t="shared" si="96"/>
        <v>0</v>
      </c>
      <c r="V315" s="107">
        <f t="shared" si="97"/>
        <v>0</v>
      </c>
      <c r="W315" s="91"/>
      <c r="X315" s="170">
        <v>4632.3731010000001</v>
      </c>
      <c r="Y315" s="144">
        <f t="shared" si="122"/>
        <v>6820.65</v>
      </c>
      <c r="Z315" s="106">
        <f t="shared" si="123"/>
        <v>31595796</v>
      </c>
      <c r="AA315" s="106"/>
      <c r="AB315" s="106"/>
      <c r="AC315" s="106"/>
      <c r="AD315" s="108">
        <f t="shared" si="124"/>
        <v>31595796</v>
      </c>
    </row>
    <row r="316" spans="1:30" ht="15" x14ac:dyDescent="0.2">
      <c r="A316" s="146">
        <v>150307</v>
      </c>
      <c r="B316" s="101" t="s">
        <v>1079</v>
      </c>
      <c r="C316" s="102" t="s">
        <v>885</v>
      </c>
      <c r="D316" s="103" t="s">
        <v>11</v>
      </c>
      <c r="E316" s="147"/>
      <c r="F316" s="48">
        <v>36855</v>
      </c>
      <c r="G316" s="106">
        <f>F316*E316</f>
        <v>0</v>
      </c>
      <c r="H316" s="95"/>
      <c r="I316" s="95"/>
      <c r="J316" s="96"/>
      <c r="K316" s="96"/>
      <c r="L316" s="91"/>
      <c r="M316" s="91"/>
      <c r="N316" s="91"/>
      <c r="O316" s="91"/>
      <c r="P316" s="91"/>
      <c r="Q316" s="91"/>
      <c r="R316" s="97">
        <f t="shared" si="125"/>
        <v>0</v>
      </c>
      <c r="S316" s="98">
        <v>720263.09375999996</v>
      </c>
      <c r="T316" s="97"/>
      <c r="U316" s="100">
        <f t="shared" si="96"/>
        <v>0</v>
      </c>
      <c r="V316" s="107">
        <f t="shared" si="97"/>
        <v>0</v>
      </c>
      <c r="W316" s="91"/>
      <c r="X316" s="170">
        <v>27.199999999999996</v>
      </c>
      <c r="Y316" s="144">
        <f t="shared" si="122"/>
        <v>38144.925000000003</v>
      </c>
      <c r="Z316" s="106">
        <f t="shared" si="123"/>
        <v>1037542</v>
      </c>
      <c r="AA316" s="106"/>
      <c r="AB316" s="106"/>
      <c r="AC316" s="106"/>
      <c r="AD316" s="108">
        <f>G316+Z316+AC316</f>
        <v>1037542</v>
      </c>
    </row>
    <row r="317" spans="1:30" ht="15" x14ac:dyDescent="0.2">
      <c r="A317" s="91"/>
      <c r="B317" s="111" t="s">
        <v>1080</v>
      </c>
      <c r="C317" s="93" t="s">
        <v>90</v>
      </c>
      <c r="D317" s="92"/>
      <c r="E317" s="93"/>
      <c r="F317" s="113"/>
      <c r="G317" s="113">
        <f>SUM(G318:G347)</f>
        <v>0</v>
      </c>
      <c r="H317" s="95"/>
      <c r="I317" s="95"/>
      <c r="J317" s="96"/>
      <c r="K317" s="96"/>
      <c r="L317" s="91"/>
      <c r="M317" s="91"/>
      <c r="N317" s="91"/>
      <c r="O317" s="91"/>
      <c r="P317" s="91"/>
      <c r="Q317" s="91"/>
      <c r="R317" s="97">
        <f t="shared" si="125"/>
        <v>0</v>
      </c>
      <c r="S317" s="98">
        <v>132070033.70999999</v>
      </c>
      <c r="T317" s="97"/>
      <c r="U317" s="100">
        <f t="shared" si="96"/>
        <v>0</v>
      </c>
      <c r="V317" s="107"/>
      <c r="W317" s="91"/>
      <c r="X317" s="113"/>
      <c r="Y317" s="113"/>
      <c r="Z317" s="113">
        <f>SUM(Z318:Z347)</f>
        <v>101253691</v>
      </c>
      <c r="AA317" s="113"/>
      <c r="AB317" s="113"/>
      <c r="AC317" s="113"/>
      <c r="AD317" s="94">
        <f>G317+Z317+AC317</f>
        <v>101253691</v>
      </c>
    </row>
    <row r="318" spans="1:30" ht="15" x14ac:dyDescent="0.2">
      <c r="A318" s="148"/>
      <c r="B318" s="101" t="s">
        <v>1081</v>
      </c>
      <c r="C318" s="102" t="s">
        <v>410</v>
      </c>
      <c r="D318" s="103" t="s">
        <v>11</v>
      </c>
      <c r="E318" s="147"/>
      <c r="F318" s="48">
        <v>183898</v>
      </c>
      <c r="G318" s="48">
        <f t="shared" ref="G318:G365" si="126">F318*E318</f>
        <v>0</v>
      </c>
      <c r="H318" s="95"/>
      <c r="I318" s="95"/>
      <c r="J318" s="96"/>
      <c r="K318" s="96"/>
      <c r="L318" s="91"/>
      <c r="M318" s="91"/>
      <c r="N318" s="91"/>
      <c r="O318" s="91"/>
      <c r="P318" s="91"/>
      <c r="Q318" s="91"/>
      <c r="R318" s="97">
        <f t="shared" si="125"/>
        <v>0</v>
      </c>
      <c r="S318" s="98">
        <v>24329705.399999999</v>
      </c>
      <c r="T318" s="97"/>
      <c r="U318" s="100">
        <f t="shared" si="96"/>
        <v>0</v>
      </c>
      <c r="V318" s="107">
        <f t="shared" si="97"/>
        <v>0</v>
      </c>
      <c r="W318" s="91"/>
      <c r="X318" s="172">
        <v>98</v>
      </c>
      <c r="Y318" s="144">
        <f t="shared" ref="Y318:Y347" si="127">(F318*3.5%)+F318</f>
        <v>190334.43</v>
      </c>
      <c r="Z318" s="106">
        <f t="shared" ref="Z318:Z347" si="128">ROUND(X318*Y318,0)</f>
        <v>18652774</v>
      </c>
      <c r="AA318" s="48"/>
      <c r="AB318" s="48"/>
      <c r="AC318" s="48"/>
      <c r="AD318" s="108">
        <f t="shared" ref="AD318:AD347" si="129">G318+Z318+AC318</f>
        <v>18652774</v>
      </c>
    </row>
    <row r="319" spans="1:30" ht="15" x14ac:dyDescent="0.2">
      <c r="A319" s="148"/>
      <c r="B319" s="101" t="s">
        <v>1082</v>
      </c>
      <c r="C319" s="102" t="s">
        <v>411</v>
      </c>
      <c r="D319" s="103" t="s">
        <v>11</v>
      </c>
      <c r="E319" s="147"/>
      <c r="F319" s="48">
        <v>109407</v>
      </c>
      <c r="G319" s="48">
        <f t="shared" si="126"/>
        <v>0</v>
      </c>
      <c r="H319" s="95"/>
      <c r="I319" s="95"/>
      <c r="J319" s="96"/>
      <c r="K319" s="96"/>
      <c r="L319" s="91"/>
      <c r="M319" s="91"/>
      <c r="N319" s="91"/>
      <c r="O319" s="91"/>
      <c r="P319" s="91"/>
      <c r="Q319" s="91"/>
      <c r="R319" s="97">
        <f t="shared" si="125"/>
        <v>0</v>
      </c>
      <c r="S319" s="98">
        <v>20677923</v>
      </c>
      <c r="T319" s="97"/>
      <c r="U319" s="100">
        <f t="shared" si="96"/>
        <v>0</v>
      </c>
      <c r="V319" s="107">
        <f t="shared" si="97"/>
        <v>0</v>
      </c>
      <c r="W319" s="91"/>
      <c r="X319" s="172">
        <v>140</v>
      </c>
      <c r="Y319" s="144">
        <f t="shared" si="127"/>
        <v>113236.245</v>
      </c>
      <c r="Z319" s="106">
        <f t="shared" si="128"/>
        <v>15853074</v>
      </c>
      <c r="AA319" s="48"/>
      <c r="AB319" s="48"/>
      <c r="AC319" s="48"/>
      <c r="AD319" s="108">
        <f t="shared" si="129"/>
        <v>15853074</v>
      </c>
    </row>
    <row r="320" spans="1:30" ht="15" x14ac:dyDescent="0.2">
      <c r="A320" s="148"/>
      <c r="B320" s="101" t="s">
        <v>1083</v>
      </c>
      <c r="C320" s="102" t="s">
        <v>412</v>
      </c>
      <c r="D320" s="103" t="s">
        <v>11</v>
      </c>
      <c r="E320" s="147"/>
      <c r="F320" s="48">
        <v>49499</v>
      </c>
      <c r="G320" s="48">
        <f t="shared" si="126"/>
        <v>0</v>
      </c>
      <c r="H320" s="95"/>
      <c r="I320" s="95"/>
      <c r="J320" s="96"/>
      <c r="K320" s="96"/>
      <c r="L320" s="91"/>
      <c r="M320" s="91"/>
      <c r="N320" s="91"/>
      <c r="O320" s="91"/>
      <c r="P320" s="91"/>
      <c r="Q320" s="91"/>
      <c r="R320" s="97">
        <f t="shared" si="125"/>
        <v>0</v>
      </c>
      <c r="S320" s="98">
        <v>25392987</v>
      </c>
      <c r="T320" s="97"/>
      <c r="U320" s="100">
        <f t="shared" si="96"/>
        <v>0</v>
      </c>
      <c r="V320" s="107">
        <f t="shared" si="97"/>
        <v>0</v>
      </c>
      <c r="W320" s="91"/>
      <c r="X320" s="172">
        <v>380</v>
      </c>
      <c r="Y320" s="144">
        <f t="shared" si="127"/>
        <v>51231.464999999997</v>
      </c>
      <c r="Z320" s="106">
        <f t="shared" si="128"/>
        <v>19467957</v>
      </c>
      <c r="AA320" s="48"/>
      <c r="AB320" s="48"/>
      <c r="AC320" s="48"/>
      <c r="AD320" s="108">
        <f t="shared" si="129"/>
        <v>19467957</v>
      </c>
    </row>
    <row r="321" spans="1:30" ht="15" x14ac:dyDescent="0.2">
      <c r="A321" s="148"/>
      <c r="B321" s="101" t="s">
        <v>1084</v>
      </c>
      <c r="C321" s="102" t="s">
        <v>413</v>
      </c>
      <c r="D321" s="103" t="s">
        <v>11</v>
      </c>
      <c r="E321" s="147"/>
      <c r="F321" s="48">
        <v>30499</v>
      </c>
      <c r="G321" s="48">
        <f t="shared" si="126"/>
        <v>0</v>
      </c>
      <c r="H321" s="95"/>
      <c r="I321" s="95"/>
      <c r="J321" s="96"/>
      <c r="K321" s="96"/>
      <c r="L321" s="91"/>
      <c r="M321" s="91"/>
      <c r="N321" s="91"/>
      <c r="O321" s="91"/>
      <c r="P321" s="91"/>
      <c r="Q321" s="91"/>
      <c r="R321" s="97">
        <f t="shared" si="125"/>
        <v>0</v>
      </c>
      <c r="S321" s="98">
        <v>2470419</v>
      </c>
      <c r="T321" s="97"/>
      <c r="U321" s="100">
        <f t="shared" si="96"/>
        <v>0</v>
      </c>
      <c r="V321" s="107">
        <f t="shared" si="97"/>
        <v>0</v>
      </c>
      <c r="W321" s="91"/>
      <c r="X321" s="172">
        <v>60</v>
      </c>
      <c r="Y321" s="144">
        <f t="shared" si="127"/>
        <v>31566.465</v>
      </c>
      <c r="Z321" s="106">
        <f t="shared" si="128"/>
        <v>1893988</v>
      </c>
      <c r="AA321" s="48"/>
      <c r="AB321" s="48"/>
      <c r="AC321" s="48"/>
      <c r="AD321" s="108">
        <f t="shared" si="129"/>
        <v>1893988</v>
      </c>
    </row>
    <row r="322" spans="1:30" ht="15" x14ac:dyDescent="0.2">
      <c r="A322" s="148"/>
      <c r="B322" s="101" t="s">
        <v>1085</v>
      </c>
      <c r="C322" s="102" t="s">
        <v>414</v>
      </c>
      <c r="D322" s="103" t="s">
        <v>5</v>
      </c>
      <c r="E322" s="147"/>
      <c r="F322" s="48">
        <v>44963</v>
      </c>
      <c r="G322" s="48">
        <f t="shared" si="126"/>
        <v>0</v>
      </c>
      <c r="H322" s="95"/>
      <c r="I322" s="95"/>
      <c r="J322" s="96"/>
      <c r="K322" s="96"/>
      <c r="L322" s="91"/>
      <c r="M322" s="91"/>
      <c r="N322" s="91"/>
      <c r="O322" s="91"/>
      <c r="P322" s="91"/>
      <c r="Q322" s="91"/>
      <c r="R322" s="97">
        <f t="shared" si="125"/>
        <v>0</v>
      </c>
      <c r="S322" s="98">
        <v>1214001</v>
      </c>
      <c r="T322" s="97"/>
      <c r="U322" s="100">
        <f t="shared" si="96"/>
        <v>0</v>
      </c>
      <c r="V322" s="107">
        <f t="shared" si="97"/>
        <v>0</v>
      </c>
      <c r="W322" s="91"/>
      <c r="X322" s="172">
        <v>20</v>
      </c>
      <c r="Y322" s="144">
        <f t="shared" si="127"/>
        <v>46536.705000000002</v>
      </c>
      <c r="Z322" s="106">
        <f t="shared" si="128"/>
        <v>930734</v>
      </c>
      <c r="AA322" s="48"/>
      <c r="AB322" s="48"/>
      <c r="AC322" s="48"/>
      <c r="AD322" s="108">
        <f t="shared" si="129"/>
        <v>930734</v>
      </c>
    </row>
    <row r="323" spans="1:30" ht="15" x14ac:dyDescent="0.2">
      <c r="A323" s="148"/>
      <c r="B323" s="101" t="s">
        <v>1086</v>
      </c>
      <c r="C323" s="102" t="s">
        <v>415</v>
      </c>
      <c r="D323" s="103" t="s">
        <v>5</v>
      </c>
      <c r="E323" s="147"/>
      <c r="F323" s="48">
        <v>43449</v>
      </c>
      <c r="G323" s="48">
        <f t="shared" si="126"/>
        <v>0</v>
      </c>
      <c r="H323" s="95"/>
      <c r="I323" s="95"/>
      <c r="J323" s="96"/>
      <c r="K323" s="96"/>
      <c r="L323" s="91"/>
      <c r="M323" s="91"/>
      <c r="N323" s="91"/>
      <c r="O323" s="91"/>
      <c r="P323" s="91"/>
      <c r="Q323" s="91"/>
      <c r="R323" s="97">
        <f t="shared" si="125"/>
        <v>0</v>
      </c>
      <c r="S323" s="98">
        <v>175968.45</v>
      </c>
      <c r="T323" s="97"/>
      <c r="U323" s="100">
        <f t="shared" si="96"/>
        <v>0</v>
      </c>
      <c r="V323" s="107">
        <f t="shared" si="97"/>
        <v>0</v>
      </c>
      <c r="W323" s="91"/>
      <c r="X323" s="172">
        <v>3</v>
      </c>
      <c r="Y323" s="144">
        <f t="shared" si="127"/>
        <v>44969.714999999997</v>
      </c>
      <c r="Z323" s="106">
        <f t="shared" si="128"/>
        <v>134909</v>
      </c>
      <c r="AA323" s="48"/>
      <c r="AB323" s="48"/>
      <c r="AC323" s="48"/>
      <c r="AD323" s="108">
        <f t="shared" si="129"/>
        <v>134909</v>
      </c>
    </row>
    <row r="324" spans="1:30" ht="15" x14ac:dyDescent="0.2">
      <c r="A324" s="148"/>
      <c r="B324" s="101" t="s">
        <v>1087</v>
      </c>
      <c r="C324" s="102" t="s">
        <v>416</v>
      </c>
      <c r="D324" s="103" t="s">
        <v>5</v>
      </c>
      <c r="E324" s="147"/>
      <c r="F324" s="48">
        <v>33528</v>
      </c>
      <c r="G324" s="48">
        <f t="shared" si="126"/>
        <v>0</v>
      </c>
      <c r="H324" s="95"/>
      <c r="I324" s="95"/>
      <c r="J324" s="96"/>
      <c r="K324" s="96"/>
      <c r="L324" s="91"/>
      <c r="M324" s="91"/>
      <c r="N324" s="91"/>
      <c r="O324" s="91"/>
      <c r="P324" s="91"/>
      <c r="Q324" s="91"/>
      <c r="R324" s="97">
        <f t="shared" si="125"/>
        <v>0</v>
      </c>
      <c r="S324" s="98">
        <v>362102.4</v>
      </c>
      <c r="T324" s="97"/>
      <c r="U324" s="100">
        <f t="shared" si="96"/>
        <v>0</v>
      </c>
      <c r="V324" s="107">
        <f t="shared" si="97"/>
        <v>0</v>
      </c>
      <c r="W324" s="91"/>
      <c r="X324" s="172">
        <v>8</v>
      </c>
      <c r="Y324" s="144">
        <f t="shared" si="127"/>
        <v>34701.480000000003</v>
      </c>
      <c r="Z324" s="106">
        <f t="shared" si="128"/>
        <v>277612</v>
      </c>
      <c r="AA324" s="48"/>
      <c r="AB324" s="48"/>
      <c r="AC324" s="48"/>
      <c r="AD324" s="108">
        <f t="shared" si="129"/>
        <v>277612</v>
      </c>
    </row>
    <row r="325" spans="1:30" ht="15" x14ac:dyDescent="0.2">
      <c r="A325" s="148"/>
      <c r="B325" s="101" t="s">
        <v>1088</v>
      </c>
      <c r="C325" s="102" t="s">
        <v>417</v>
      </c>
      <c r="D325" s="103" t="s">
        <v>5</v>
      </c>
      <c r="E325" s="147"/>
      <c r="F325" s="48">
        <v>33908</v>
      </c>
      <c r="G325" s="48">
        <f t="shared" si="126"/>
        <v>0</v>
      </c>
      <c r="H325" s="95"/>
      <c r="I325" s="95"/>
      <c r="J325" s="96"/>
      <c r="K325" s="96"/>
      <c r="L325" s="91"/>
      <c r="M325" s="91"/>
      <c r="N325" s="91"/>
      <c r="O325" s="91"/>
      <c r="P325" s="91"/>
      <c r="Q325" s="91"/>
      <c r="R325" s="97">
        <f t="shared" si="125"/>
        <v>0</v>
      </c>
      <c r="S325" s="98">
        <v>137327.40000000002</v>
      </c>
      <c r="T325" s="97"/>
      <c r="U325" s="100">
        <f t="shared" si="96"/>
        <v>0</v>
      </c>
      <c r="V325" s="107">
        <f t="shared" si="97"/>
        <v>0</v>
      </c>
      <c r="W325" s="91"/>
      <c r="X325" s="172">
        <v>3</v>
      </c>
      <c r="Y325" s="144">
        <f t="shared" si="127"/>
        <v>35094.78</v>
      </c>
      <c r="Z325" s="106">
        <f t="shared" si="128"/>
        <v>105284</v>
      </c>
      <c r="AA325" s="48"/>
      <c r="AB325" s="48"/>
      <c r="AC325" s="48"/>
      <c r="AD325" s="108">
        <f t="shared" si="129"/>
        <v>105284</v>
      </c>
    </row>
    <row r="326" spans="1:30" ht="15" x14ac:dyDescent="0.2">
      <c r="A326" s="148"/>
      <c r="B326" s="101" t="s">
        <v>1089</v>
      </c>
      <c r="C326" s="102" t="s">
        <v>418</v>
      </c>
      <c r="D326" s="103" t="s">
        <v>5</v>
      </c>
      <c r="E326" s="147"/>
      <c r="F326" s="48">
        <v>19428</v>
      </c>
      <c r="G326" s="48">
        <f t="shared" si="126"/>
        <v>0</v>
      </c>
      <c r="H326" s="95"/>
      <c r="I326" s="95"/>
      <c r="J326" s="96"/>
      <c r="K326" s="96"/>
      <c r="L326" s="91"/>
      <c r="M326" s="91"/>
      <c r="N326" s="91"/>
      <c r="O326" s="91"/>
      <c r="P326" s="91"/>
      <c r="Q326" s="91"/>
      <c r="R326" s="97">
        <f t="shared" si="125"/>
        <v>0</v>
      </c>
      <c r="S326" s="98">
        <v>209822.40000000002</v>
      </c>
      <c r="T326" s="97"/>
      <c r="U326" s="100">
        <f t="shared" si="96"/>
        <v>0</v>
      </c>
      <c r="V326" s="107">
        <f t="shared" si="97"/>
        <v>0</v>
      </c>
      <c r="W326" s="91"/>
      <c r="X326" s="172">
        <v>8</v>
      </c>
      <c r="Y326" s="144">
        <f t="shared" si="127"/>
        <v>20107.98</v>
      </c>
      <c r="Z326" s="106">
        <f t="shared" si="128"/>
        <v>160864</v>
      </c>
      <c r="AA326" s="48"/>
      <c r="AB326" s="48"/>
      <c r="AC326" s="48"/>
      <c r="AD326" s="108">
        <f t="shared" si="129"/>
        <v>160864</v>
      </c>
    </row>
    <row r="327" spans="1:30" ht="15" x14ac:dyDescent="0.2">
      <c r="A327" s="148"/>
      <c r="B327" s="101" t="s">
        <v>1090</v>
      </c>
      <c r="C327" s="102" t="s">
        <v>419</v>
      </c>
      <c r="D327" s="103" t="s">
        <v>5</v>
      </c>
      <c r="E327" s="147"/>
      <c r="F327" s="48">
        <v>33408</v>
      </c>
      <c r="G327" s="48">
        <f t="shared" si="126"/>
        <v>0</v>
      </c>
      <c r="H327" s="95"/>
      <c r="I327" s="95"/>
      <c r="J327" s="96"/>
      <c r="K327" s="96"/>
      <c r="L327" s="91"/>
      <c r="M327" s="91"/>
      <c r="N327" s="91"/>
      <c r="O327" s="91"/>
      <c r="P327" s="91"/>
      <c r="Q327" s="91"/>
      <c r="R327" s="97">
        <f t="shared" si="125"/>
        <v>0</v>
      </c>
      <c r="S327" s="98">
        <v>2931552</v>
      </c>
      <c r="T327" s="97"/>
      <c r="U327" s="100">
        <f t="shared" si="96"/>
        <v>0</v>
      </c>
      <c r="V327" s="107">
        <f t="shared" si="97"/>
        <v>0</v>
      </c>
      <c r="W327" s="91"/>
      <c r="X327" s="172">
        <v>65</v>
      </c>
      <c r="Y327" s="144">
        <f t="shared" si="127"/>
        <v>34577.279999999999</v>
      </c>
      <c r="Z327" s="106">
        <f t="shared" si="128"/>
        <v>2247523</v>
      </c>
      <c r="AA327" s="48"/>
      <c r="AB327" s="48"/>
      <c r="AC327" s="48"/>
      <c r="AD327" s="108">
        <f t="shared" si="129"/>
        <v>2247523</v>
      </c>
    </row>
    <row r="328" spans="1:30" ht="15" x14ac:dyDescent="0.2">
      <c r="A328" s="148"/>
      <c r="B328" s="101" t="s">
        <v>1091</v>
      </c>
      <c r="C328" s="102" t="s">
        <v>420</v>
      </c>
      <c r="D328" s="103" t="s">
        <v>5</v>
      </c>
      <c r="E328" s="147"/>
      <c r="F328" s="48">
        <v>15828</v>
      </c>
      <c r="G328" s="48">
        <f t="shared" si="126"/>
        <v>0</v>
      </c>
      <c r="H328" s="95"/>
      <c r="I328" s="95"/>
      <c r="J328" s="96"/>
      <c r="K328" s="96"/>
      <c r="L328" s="91"/>
      <c r="M328" s="91"/>
      <c r="N328" s="91"/>
      <c r="O328" s="91"/>
      <c r="P328" s="91"/>
      <c r="Q328" s="91"/>
      <c r="R328" s="97">
        <f t="shared" si="125"/>
        <v>0</v>
      </c>
      <c r="S328" s="98">
        <v>1367539.2000000002</v>
      </c>
      <c r="T328" s="97"/>
      <c r="U328" s="100">
        <f t="shared" si="96"/>
        <v>0</v>
      </c>
      <c r="V328" s="107">
        <f t="shared" si="97"/>
        <v>0</v>
      </c>
      <c r="W328" s="91"/>
      <c r="X328" s="172">
        <v>64</v>
      </c>
      <c r="Y328" s="144">
        <f t="shared" si="127"/>
        <v>16381.98</v>
      </c>
      <c r="Z328" s="106">
        <f t="shared" si="128"/>
        <v>1048447</v>
      </c>
      <c r="AA328" s="48"/>
      <c r="AB328" s="48"/>
      <c r="AC328" s="48"/>
      <c r="AD328" s="108">
        <f t="shared" si="129"/>
        <v>1048447</v>
      </c>
    </row>
    <row r="329" spans="1:30" ht="15" x14ac:dyDescent="0.2">
      <c r="A329" s="148"/>
      <c r="B329" s="101" t="s">
        <v>1092</v>
      </c>
      <c r="C329" s="102" t="s">
        <v>421</v>
      </c>
      <c r="D329" s="103" t="s">
        <v>5</v>
      </c>
      <c r="E329" s="147"/>
      <c r="F329" s="48">
        <v>22928</v>
      </c>
      <c r="G329" s="48">
        <f t="shared" si="126"/>
        <v>0</v>
      </c>
      <c r="H329" s="95"/>
      <c r="I329" s="95"/>
      <c r="J329" s="96"/>
      <c r="K329" s="96"/>
      <c r="L329" s="91"/>
      <c r="M329" s="91"/>
      <c r="N329" s="91"/>
      <c r="O329" s="91"/>
      <c r="P329" s="91"/>
      <c r="Q329" s="91"/>
      <c r="R329" s="97">
        <f t="shared" si="125"/>
        <v>0</v>
      </c>
      <c r="S329" s="98">
        <v>2073837.6</v>
      </c>
      <c r="T329" s="97"/>
      <c r="U329" s="100">
        <f t="shared" ref="U329:U392" si="130">+G329*$U$7</f>
        <v>0</v>
      </c>
      <c r="V329" s="107">
        <f t="shared" ref="V329:V392" si="131">+G329+U329</f>
        <v>0</v>
      </c>
      <c r="W329" s="91"/>
      <c r="X329" s="172">
        <v>67</v>
      </c>
      <c r="Y329" s="144">
        <f t="shared" si="127"/>
        <v>23730.48</v>
      </c>
      <c r="Z329" s="106">
        <f t="shared" si="128"/>
        <v>1589942</v>
      </c>
      <c r="AA329" s="48"/>
      <c r="AB329" s="48"/>
      <c r="AC329" s="48"/>
      <c r="AD329" s="108">
        <f t="shared" si="129"/>
        <v>1589942</v>
      </c>
    </row>
    <row r="330" spans="1:30" ht="15" x14ac:dyDescent="0.2">
      <c r="A330" s="148"/>
      <c r="B330" s="101" t="s">
        <v>1093</v>
      </c>
      <c r="C330" s="102" t="s">
        <v>422</v>
      </c>
      <c r="D330" s="103" t="s">
        <v>5</v>
      </c>
      <c r="E330" s="147"/>
      <c r="F330" s="48">
        <v>13828</v>
      </c>
      <c r="G330" s="48">
        <f t="shared" si="126"/>
        <v>0</v>
      </c>
      <c r="H330" s="95"/>
      <c r="I330" s="95"/>
      <c r="J330" s="96"/>
      <c r="K330" s="96"/>
      <c r="L330" s="91"/>
      <c r="M330" s="91"/>
      <c r="N330" s="91"/>
      <c r="O330" s="91"/>
      <c r="P330" s="91"/>
      <c r="Q330" s="91"/>
      <c r="R330" s="97">
        <f t="shared" si="125"/>
        <v>0</v>
      </c>
      <c r="S330" s="98">
        <v>2240136</v>
      </c>
      <c r="T330" s="97"/>
      <c r="U330" s="100">
        <f t="shared" si="130"/>
        <v>0</v>
      </c>
      <c r="V330" s="107">
        <f t="shared" si="131"/>
        <v>0</v>
      </c>
      <c r="W330" s="91"/>
      <c r="X330" s="172">
        <v>120</v>
      </c>
      <c r="Y330" s="144">
        <f t="shared" si="127"/>
        <v>14311.98</v>
      </c>
      <c r="Z330" s="106">
        <f t="shared" si="128"/>
        <v>1717438</v>
      </c>
      <c r="AA330" s="48"/>
      <c r="AB330" s="48"/>
      <c r="AC330" s="48"/>
      <c r="AD330" s="108">
        <f t="shared" si="129"/>
        <v>1717438</v>
      </c>
    </row>
    <row r="331" spans="1:30" ht="15" x14ac:dyDescent="0.2">
      <c r="A331" s="148"/>
      <c r="B331" s="101" t="s">
        <v>1094</v>
      </c>
      <c r="C331" s="149" t="s">
        <v>903</v>
      </c>
      <c r="D331" s="103" t="s">
        <v>5</v>
      </c>
      <c r="E331" s="147"/>
      <c r="F331" s="48">
        <v>59592</v>
      </c>
      <c r="G331" s="48">
        <f t="shared" si="126"/>
        <v>0</v>
      </c>
      <c r="H331" s="95"/>
      <c r="I331" s="95"/>
      <c r="J331" s="96"/>
      <c r="K331" s="96"/>
      <c r="L331" s="91"/>
      <c r="M331" s="91"/>
      <c r="N331" s="91"/>
      <c r="O331" s="91"/>
      <c r="P331" s="91"/>
      <c r="Q331" s="91"/>
      <c r="R331" s="97">
        <f t="shared" si="125"/>
        <v>0</v>
      </c>
      <c r="S331" s="98">
        <v>9653904</v>
      </c>
      <c r="T331" s="97"/>
      <c r="U331" s="100">
        <f t="shared" si="130"/>
        <v>0</v>
      </c>
      <c r="V331" s="107">
        <f t="shared" si="131"/>
        <v>0</v>
      </c>
      <c r="W331" s="91"/>
      <c r="X331" s="172">
        <v>120</v>
      </c>
      <c r="Y331" s="144">
        <f t="shared" si="127"/>
        <v>61677.72</v>
      </c>
      <c r="Z331" s="106">
        <f t="shared" si="128"/>
        <v>7401326</v>
      </c>
      <c r="AA331" s="48"/>
      <c r="AB331" s="48"/>
      <c r="AC331" s="48"/>
      <c r="AD331" s="108">
        <f t="shared" si="129"/>
        <v>7401326</v>
      </c>
    </row>
    <row r="332" spans="1:30" ht="15" x14ac:dyDescent="0.2">
      <c r="A332" s="148"/>
      <c r="B332" s="101" t="s">
        <v>1095</v>
      </c>
      <c r="C332" s="102" t="s">
        <v>423</v>
      </c>
      <c r="D332" s="103" t="s">
        <v>5</v>
      </c>
      <c r="E332" s="147"/>
      <c r="F332" s="48">
        <v>19488</v>
      </c>
      <c r="G332" s="48">
        <f t="shared" si="126"/>
        <v>0</v>
      </c>
      <c r="H332" s="95"/>
      <c r="I332" s="95"/>
      <c r="J332" s="96"/>
      <c r="K332" s="96"/>
      <c r="L332" s="91"/>
      <c r="M332" s="91"/>
      <c r="N332" s="91"/>
      <c r="O332" s="91"/>
      <c r="P332" s="91"/>
      <c r="Q332" s="91"/>
      <c r="R332" s="97">
        <f t="shared" si="125"/>
        <v>0</v>
      </c>
      <c r="S332" s="98">
        <v>1031304.9600000001</v>
      </c>
      <c r="T332" s="97"/>
      <c r="U332" s="100">
        <f t="shared" si="130"/>
        <v>0</v>
      </c>
      <c r="V332" s="107">
        <f t="shared" si="131"/>
        <v>0</v>
      </c>
      <c r="W332" s="91"/>
      <c r="X332" s="172">
        <v>39.200000000000003</v>
      </c>
      <c r="Y332" s="144">
        <f t="shared" si="127"/>
        <v>20170.080000000002</v>
      </c>
      <c r="Z332" s="106">
        <f t="shared" si="128"/>
        <v>790667</v>
      </c>
      <c r="AA332" s="48"/>
      <c r="AB332" s="48"/>
      <c r="AC332" s="48"/>
      <c r="AD332" s="108">
        <f t="shared" si="129"/>
        <v>790667</v>
      </c>
    </row>
    <row r="333" spans="1:30" ht="15" x14ac:dyDescent="0.2">
      <c r="A333" s="148"/>
      <c r="B333" s="101" t="s">
        <v>1096</v>
      </c>
      <c r="C333" s="102" t="s">
        <v>424</v>
      </c>
      <c r="D333" s="103" t="s">
        <v>5</v>
      </c>
      <c r="E333" s="147"/>
      <c r="F333" s="48">
        <v>16688</v>
      </c>
      <c r="G333" s="48">
        <f t="shared" si="126"/>
        <v>0</v>
      </c>
      <c r="H333" s="95"/>
      <c r="I333" s="95"/>
      <c r="J333" s="96"/>
      <c r="K333" s="96"/>
      <c r="L333" s="91"/>
      <c r="M333" s="91"/>
      <c r="N333" s="91"/>
      <c r="O333" s="91"/>
      <c r="P333" s="91"/>
      <c r="Q333" s="91"/>
      <c r="R333" s="97">
        <f t="shared" si="125"/>
        <v>0</v>
      </c>
      <c r="S333" s="98">
        <v>1261612.7999999998</v>
      </c>
      <c r="T333" s="97"/>
      <c r="U333" s="100">
        <f t="shared" si="130"/>
        <v>0</v>
      </c>
      <c r="V333" s="107">
        <f t="shared" si="131"/>
        <v>0</v>
      </c>
      <c r="W333" s="91"/>
      <c r="X333" s="172">
        <v>56</v>
      </c>
      <c r="Y333" s="144">
        <f t="shared" si="127"/>
        <v>17272.080000000002</v>
      </c>
      <c r="Z333" s="106">
        <f t="shared" si="128"/>
        <v>967236</v>
      </c>
      <c r="AA333" s="48"/>
      <c r="AB333" s="48"/>
      <c r="AC333" s="48"/>
      <c r="AD333" s="108">
        <f t="shared" si="129"/>
        <v>967236</v>
      </c>
    </row>
    <row r="334" spans="1:30" ht="15" x14ac:dyDescent="0.2">
      <c r="A334" s="148"/>
      <c r="B334" s="101" t="s">
        <v>1097</v>
      </c>
      <c r="C334" s="102" t="s">
        <v>425</v>
      </c>
      <c r="D334" s="103" t="s">
        <v>5</v>
      </c>
      <c r="E334" s="147"/>
      <c r="F334" s="48">
        <v>12688</v>
      </c>
      <c r="G334" s="48">
        <f t="shared" si="126"/>
        <v>0</v>
      </c>
      <c r="H334" s="95"/>
      <c r="I334" s="95"/>
      <c r="J334" s="96"/>
      <c r="K334" s="96"/>
      <c r="L334" s="91"/>
      <c r="M334" s="91"/>
      <c r="N334" s="91"/>
      <c r="O334" s="91"/>
      <c r="P334" s="91"/>
      <c r="Q334" s="91"/>
      <c r="R334" s="97">
        <f t="shared" si="125"/>
        <v>0</v>
      </c>
      <c r="S334" s="98">
        <v>2603577.5999999996</v>
      </c>
      <c r="T334" s="97"/>
      <c r="U334" s="100">
        <f t="shared" si="130"/>
        <v>0</v>
      </c>
      <c r="V334" s="107">
        <f t="shared" si="131"/>
        <v>0</v>
      </c>
      <c r="W334" s="91"/>
      <c r="X334" s="172">
        <v>152</v>
      </c>
      <c r="Y334" s="144">
        <f t="shared" si="127"/>
        <v>13132.08</v>
      </c>
      <c r="Z334" s="106">
        <f t="shared" si="128"/>
        <v>1996076</v>
      </c>
      <c r="AA334" s="48"/>
      <c r="AB334" s="48"/>
      <c r="AC334" s="48"/>
      <c r="AD334" s="108">
        <f t="shared" si="129"/>
        <v>1996076</v>
      </c>
    </row>
    <row r="335" spans="1:30" ht="15" x14ac:dyDescent="0.2">
      <c r="A335" s="148"/>
      <c r="B335" s="101" t="s">
        <v>1098</v>
      </c>
      <c r="C335" s="102" t="s">
        <v>426</v>
      </c>
      <c r="D335" s="103" t="s">
        <v>5</v>
      </c>
      <c r="E335" s="147"/>
      <c r="F335" s="48">
        <v>88441</v>
      </c>
      <c r="G335" s="48">
        <f t="shared" si="126"/>
        <v>0</v>
      </c>
      <c r="H335" s="95"/>
      <c r="I335" s="95"/>
      <c r="J335" s="96"/>
      <c r="K335" s="96"/>
      <c r="L335" s="91"/>
      <c r="M335" s="91"/>
      <c r="N335" s="91"/>
      <c r="O335" s="91"/>
      <c r="P335" s="91"/>
      <c r="Q335" s="91"/>
      <c r="R335" s="97">
        <f t="shared" si="125"/>
        <v>0</v>
      </c>
      <c r="S335" s="98">
        <v>477581.4</v>
      </c>
      <c r="T335" s="97"/>
      <c r="U335" s="100">
        <f t="shared" si="130"/>
        <v>0</v>
      </c>
      <c r="V335" s="107">
        <f t="shared" si="131"/>
        <v>0</v>
      </c>
      <c r="W335" s="91"/>
      <c r="X335" s="172">
        <v>4</v>
      </c>
      <c r="Y335" s="144">
        <f t="shared" si="127"/>
        <v>91536.434999999998</v>
      </c>
      <c r="Z335" s="106">
        <f t="shared" si="128"/>
        <v>366146</v>
      </c>
      <c r="AA335" s="48"/>
      <c r="AB335" s="48"/>
      <c r="AC335" s="48"/>
      <c r="AD335" s="108">
        <f t="shared" si="129"/>
        <v>366146</v>
      </c>
    </row>
    <row r="336" spans="1:30" ht="15" x14ac:dyDescent="0.2">
      <c r="A336" s="148"/>
      <c r="B336" s="101" t="s">
        <v>1099</v>
      </c>
      <c r="C336" s="102" t="s">
        <v>427</v>
      </c>
      <c r="D336" s="103" t="s">
        <v>5</v>
      </c>
      <c r="E336" s="147"/>
      <c r="F336" s="48">
        <v>108669</v>
      </c>
      <c r="G336" s="48">
        <f t="shared" si="126"/>
        <v>0</v>
      </c>
      <c r="H336" s="95"/>
      <c r="I336" s="95"/>
      <c r="J336" s="96"/>
      <c r="K336" s="96"/>
      <c r="L336" s="91"/>
      <c r="M336" s="91"/>
      <c r="N336" s="91"/>
      <c r="O336" s="91"/>
      <c r="P336" s="91"/>
      <c r="Q336" s="91"/>
      <c r="R336" s="97">
        <f t="shared" si="125"/>
        <v>0</v>
      </c>
      <c r="S336" s="98">
        <v>293406.30000000005</v>
      </c>
      <c r="T336" s="97"/>
      <c r="U336" s="100">
        <f t="shared" si="130"/>
        <v>0</v>
      </c>
      <c r="V336" s="107">
        <f t="shared" si="131"/>
        <v>0</v>
      </c>
      <c r="W336" s="91"/>
      <c r="X336" s="172">
        <v>2</v>
      </c>
      <c r="Y336" s="144">
        <f t="shared" si="127"/>
        <v>112472.41499999999</v>
      </c>
      <c r="Z336" s="106">
        <f t="shared" si="128"/>
        <v>224945</v>
      </c>
      <c r="AA336" s="48"/>
      <c r="AB336" s="48"/>
      <c r="AC336" s="48"/>
      <c r="AD336" s="108">
        <f t="shared" si="129"/>
        <v>224945</v>
      </c>
    </row>
    <row r="337" spans="1:30" ht="15" x14ac:dyDescent="0.2">
      <c r="A337" s="148"/>
      <c r="B337" s="101" t="s">
        <v>1100</v>
      </c>
      <c r="C337" s="102" t="s">
        <v>428</v>
      </c>
      <c r="D337" s="103" t="s">
        <v>5</v>
      </c>
      <c r="E337" s="147"/>
      <c r="F337" s="48">
        <v>979600</v>
      </c>
      <c r="G337" s="48">
        <f t="shared" si="126"/>
        <v>0</v>
      </c>
      <c r="H337" s="95"/>
      <c r="I337" s="95"/>
      <c r="J337" s="96"/>
      <c r="K337" s="96"/>
      <c r="L337" s="91"/>
      <c r="M337" s="91"/>
      <c r="N337" s="91"/>
      <c r="O337" s="91"/>
      <c r="P337" s="91"/>
      <c r="Q337" s="91"/>
      <c r="R337" s="97">
        <f t="shared" si="125"/>
        <v>0</v>
      </c>
      <c r="S337" s="98">
        <v>3967380</v>
      </c>
      <c r="T337" s="97"/>
      <c r="U337" s="100">
        <f t="shared" si="130"/>
        <v>0</v>
      </c>
      <c r="V337" s="107">
        <f t="shared" si="131"/>
        <v>0</v>
      </c>
      <c r="W337" s="91"/>
      <c r="X337" s="172">
        <v>3</v>
      </c>
      <c r="Y337" s="144">
        <f t="shared" si="127"/>
        <v>1013886</v>
      </c>
      <c r="Z337" s="106">
        <f t="shared" si="128"/>
        <v>3041658</v>
      </c>
      <c r="AA337" s="48"/>
      <c r="AB337" s="48"/>
      <c r="AC337" s="48"/>
      <c r="AD337" s="108">
        <f t="shared" si="129"/>
        <v>3041658</v>
      </c>
    </row>
    <row r="338" spans="1:30" ht="15" x14ac:dyDescent="0.2">
      <c r="A338" s="148"/>
      <c r="B338" s="101" t="s">
        <v>1101</v>
      </c>
      <c r="C338" s="102" t="s">
        <v>429</v>
      </c>
      <c r="D338" s="103" t="s">
        <v>5</v>
      </c>
      <c r="E338" s="147"/>
      <c r="F338" s="48">
        <v>875534</v>
      </c>
      <c r="G338" s="48">
        <f t="shared" si="126"/>
        <v>0</v>
      </c>
      <c r="H338" s="95"/>
      <c r="I338" s="95"/>
      <c r="J338" s="96"/>
      <c r="K338" s="96"/>
      <c r="L338" s="91"/>
      <c r="M338" s="91"/>
      <c r="N338" s="91"/>
      <c r="O338" s="91"/>
      <c r="P338" s="91"/>
      <c r="Q338" s="91"/>
      <c r="R338" s="97">
        <f t="shared" si="125"/>
        <v>0</v>
      </c>
      <c r="S338" s="98">
        <v>3545912.7</v>
      </c>
      <c r="T338" s="97"/>
      <c r="U338" s="100">
        <f t="shared" si="130"/>
        <v>0</v>
      </c>
      <c r="V338" s="107">
        <f t="shared" si="131"/>
        <v>0</v>
      </c>
      <c r="W338" s="91"/>
      <c r="X338" s="172">
        <v>3</v>
      </c>
      <c r="Y338" s="144">
        <f t="shared" si="127"/>
        <v>906177.69</v>
      </c>
      <c r="Z338" s="106">
        <f t="shared" si="128"/>
        <v>2718533</v>
      </c>
      <c r="AA338" s="48"/>
      <c r="AB338" s="48"/>
      <c r="AC338" s="48"/>
      <c r="AD338" s="108">
        <f t="shared" si="129"/>
        <v>2718533</v>
      </c>
    </row>
    <row r="339" spans="1:30" ht="15" x14ac:dyDescent="0.2">
      <c r="A339" s="148"/>
      <c r="B339" s="101" t="s">
        <v>1102</v>
      </c>
      <c r="C339" s="102" t="s">
        <v>430</v>
      </c>
      <c r="D339" s="103" t="s">
        <v>5</v>
      </c>
      <c r="E339" s="147"/>
      <c r="F339" s="48">
        <v>219641</v>
      </c>
      <c r="G339" s="48">
        <f t="shared" si="126"/>
        <v>0</v>
      </c>
      <c r="H339" s="95"/>
      <c r="I339" s="95"/>
      <c r="J339" s="96"/>
      <c r="K339" s="96"/>
      <c r="L339" s="91"/>
      <c r="M339" s="91"/>
      <c r="N339" s="91"/>
      <c r="O339" s="91"/>
      <c r="P339" s="91"/>
      <c r="Q339" s="91"/>
      <c r="R339" s="97">
        <f t="shared" si="125"/>
        <v>0</v>
      </c>
      <c r="S339" s="98">
        <v>889546.05</v>
      </c>
      <c r="T339" s="97"/>
      <c r="U339" s="100">
        <f t="shared" si="130"/>
        <v>0</v>
      </c>
      <c r="V339" s="107">
        <f t="shared" si="131"/>
        <v>0</v>
      </c>
      <c r="W339" s="91"/>
      <c r="X339" s="172">
        <v>3</v>
      </c>
      <c r="Y339" s="144">
        <f t="shared" si="127"/>
        <v>227328.435</v>
      </c>
      <c r="Z339" s="106">
        <f t="shared" si="128"/>
        <v>681985</v>
      </c>
      <c r="AA339" s="48"/>
      <c r="AB339" s="48"/>
      <c r="AC339" s="48"/>
      <c r="AD339" s="108">
        <f t="shared" si="129"/>
        <v>681985</v>
      </c>
    </row>
    <row r="340" spans="1:30" ht="15" x14ac:dyDescent="0.2">
      <c r="A340" s="148"/>
      <c r="B340" s="101" t="s">
        <v>1103</v>
      </c>
      <c r="C340" s="102" t="s">
        <v>431</v>
      </c>
      <c r="D340" s="103" t="s">
        <v>5</v>
      </c>
      <c r="E340" s="147"/>
      <c r="F340" s="48">
        <v>643924</v>
      </c>
      <c r="G340" s="48">
        <f t="shared" si="126"/>
        <v>0</v>
      </c>
      <c r="H340" s="95"/>
      <c r="I340" s="95"/>
      <c r="J340" s="96"/>
      <c r="K340" s="96"/>
      <c r="L340" s="91"/>
      <c r="M340" s="91"/>
      <c r="N340" s="91"/>
      <c r="O340" s="91"/>
      <c r="P340" s="91"/>
      <c r="Q340" s="91"/>
      <c r="R340" s="97">
        <f t="shared" si="125"/>
        <v>0</v>
      </c>
      <c r="S340" s="98">
        <v>2607892.2000000002</v>
      </c>
      <c r="T340" s="97"/>
      <c r="U340" s="100">
        <f t="shared" si="130"/>
        <v>0</v>
      </c>
      <c r="V340" s="107">
        <f t="shared" si="131"/>
        <v>0</v>
      </c>
      <c r="W340" s="91"/>
      <c r="X340" s="172">
        <v>3</v>
      </c>
      <c r="Y340" s="144">
        <f t="shared" si="127"/>
        <v>666461.34</v>
      </c>
      <c r="Z340" s="106">
        <f t="shared" si="128"/>
        <v>1999384</v>
      </c>
      <c r="AA340" s="48"/>
      <c r="AB340" s="48"/>
      <c r="AC340" s="48"/>
      <c r="AD340" s="108">
        <f t="shared" si="129"/>
        <v>1999384</v>
      </c>
    </row>
    <row r="341" spans="1:30" ht="15" x14ac:dyDescent="0.2">
      <c r="A341" s="148"/>
      <c r="B341" s="101" t="s">
        <v>1104</v>
      </c>
      <c r="C341" s="102" t="s">
        <v>432</v>
      </c>
      <c r="D341" s="103" t="s">
        <v>5</v>
      </c>
      <c r="E341" s="147"/>
      <c r="F341" s="48">
        <v>462134</v>
      </c>
      <c r="G341" s="48">
        <f t="shared" si="126"/>
        <v>0</v>
      </c>
      <c r="H341" s="95"/>
      <c r="I341" s="95"/>
      <c r="J341" s="96"/>
      <c r="K341" s="96"/>
      <c r="L341" s="91"/>
      <c r="M341" s="91"/>
      <c r="N341" s="91"/>
      <c r="O341" s="91"/>
      <c r="P341" s="91"/>
      <c r="Q341" s="91"/>
      <c r="R341" s="97">
        <f t="shared" si="125"/>
        <v>0</v>
      </c>
      <c r="S341" s="98">
        <v>1871642.7000000002</v>
      </c>
      <c r="T341" s="97"/>
      <c r="U341" s="100">
        <f t="shared" si="130"/>
        <v>0</v>
      </c>
      <c r="V341" s="107">
        <f t="shared" si="131"/>
        <v>0</v>
      </c>
      <c r="W341" s="91"/>
      <c r="X341" s="172">
        <v>3</v>
      </c>
      <c r="Y341" s="144">
        <f t="shared" si="127"/>
        <v>478308.69</v>
      </c>
      <c r="Z341" s="106">
        <f t="shared" si="128"/>
        <v>1434926</v>
      </c>
      <c r="AA341" s="48"/>
      <c r="AB341" s="48"/>
      <c r="AC341" s="48"/>
      <c r="AD341" s="108">
        <f t="shared" si="129"/>
        <v>1434926</v>
      </c>
    </row>
    <row r="342" spans="1:30" ht="15" x14ac:dyDescent="0.2">
      <c r="A342" s="148"/>
      <c r="B342" s="101" t="s">
        <v>1105</v>
      </c>
      <c r="C342" s="102" t="s">
        <v>433</v>
      </c>
      <c r="D342" s="103" t="s">
        <v>5</v>
      </c>
      <c r="E342" s="147"/>
      <c r="F342" s="48">
        <v>279522</v>
      </c>
      <c r="G342" s="48">
        <f t="shared" si="126"/>
        <v>0</v>
      </c>
      <c r="H342" s="95"/>
      <c r="I342" s="95"/>
      <c r="J342" s="96"/>
      <c r="K342" s="96"/>
      <c r="L342" s="91"/>
      <c r="M342" s="91"/>
      <c r="N342" s="91"/>
      <c r="O342" s="91"/>
      <c r="P342" s="91"/>
      <c r="Q342" s="91"/>
      <c r="R342" s="97">
        <f t="shared" si="125"/>
        <v>0</v>
      </c>
      <c r="S342" s="98">
        <v>1132064.1000000001</v>
      </c>
      <c r="T342" s="97"/>
      <c r="U342" s="100">
        <f t="shared" si="130"/>
        <v>0</v>
      </c>
      <c r="V342" s="107">
        <f t="shared" si="131"/>
        <v>0</v>
      </c>
      <c r="W342" s="91"/>
      <c r="X342" s="172">
        <v>3</v>
      </c>
      <c r="Y342" s="144">
        <f t="shared" si="127"/>
        <v>289305.27</v>
      </c>
      <c r="Z342" s="106">
        <f t="shared" si="128"/>
        <v>867916</v>
      </c>
      <c r="AA342" s="48"/>
      <c r="AB342" s="48"/>
      <c r="AC342" s="48"/>
      <c r="AD342" s="108">
        <f t="shared" si="129"/>
        <v>867916</v>
      </c>
    </row>
    <row r="343" spans="1:30" ht="15" x14ac:dyDescent="0.2">
      <c r="A343" s="148"/>
      <c r="B343" s="101" t="s">
        <v>1106</v>
      </c>
      <c r="C343" s="102" t="s">
        <v>434</v>
      </c>
      <c r="D343" s="103" t="s">
        <v>5</v>
      </c>
      <c r="E343" s="147"/>
      <c r="F343" s="48">
        <v>77281</v>
      </c>
      <c r="G343" s="48">
        <f t="shared" si="126"/>
        <v>0</v>
      </c>
      <c r="H343" s="95"/>
      <c r="I343" s="95"/>
      <c r="J343" s="96"/>
      <c r="K343" s="96"/>
      <c r="L343" s="91"/>
      <c r="M343" s="91"/>
      <c r="N343" s="91"/>
      <c r="O343" s="91"/>
      <c r="P343" s="91"/>
      <c r="Q343" s="91"/>
      <c r="R343" s="97">
        <f t="shared" si="125"/>
        <v>0</v>
      </c>
      <c r="S343" s="98">
        <v>312988.05000000005</v>
      </c>
      <c r="T343" s="97"/>
      <c r="U343" s="100">
        <f t="shared" si="130"/>
        <v>0</v>
      </c>
      <c r="V343" s="107">
        <f t="shared" si="131"/>
        <v>0</v>
      </c>
      <c r="W343" s="91"/>
      <c r="X343" s="172">
        <v>3</v>
      </c>
      <c r="Y343" s="144">
        <f t="shared" si="127"/>
        <v>79985.835000000006</v>
      </c>
      <c r="Z343" s="106">
        <f t="shared" si="128"/>
        <v>239958</v>
      </c>
      <c r="AA343" s="48"/>
      <c r="AB343" s="48"/>
      <c r="AC343" s="48"/>
      <c r="AD343" s="108">
        <f t="shared" si="129"/>
        <v>239958</v>
      </c>
    </row>
    <row r="344" spans="1:30" ht="15" x14ac:dyDescent="0.2">
      <c r="A344" s="148"/>
      <c r="B344" s="101" t="s">
        <v>1107</v>
      </c>
      <c r="C344" s="102" t="s">
        <v>435</v>
      </c>
      <c r="D344" s="103" t="s">
        <v>5</v>
      </c>
      <c r="E344" s="147"/>
      <c r="F344" s="48">
        <v>64401</v>
      </c>
      <c r="G344" s="48">
        <f t="shared" si="126"/>
        <v>0</v>
      </c>
      <c r="H344" s="95"/>
      <c r="I344" s="95"/>
      <c r="J344" s="96"/>
      <c r="K344" s="96"/>
      <c r="L344" s="91"/>
      <c r="M344" s="91"/>
      <c r="N344" s="91"/>
      <c r="O344" s="91"/>
      <c r="P344" s="91"/>
      <c r="Q344" s="91"/>
      <c r="R344" s="97">
        <f t="shared" si="125"/>
        <v>0</v>
      </c>
      <c r="S344" s="98">
        <v>10432962</v>
      </c>
      <c r="T344" s="97"/>
      <c r="U344" s="100">
        <f t="shared" si="130"/>
        <v>0</v>
      </c>
      <c r="V344" s="107">
        <f t="shared" si="131"/>
        <v>0</v>
      </c>
      <c r="W344" s="91"/>
      <c r="X344" s="172">
        <v>120</v>
      </c>
      <c r="Y344" s="144">
        <f t="shared" si="127"/>
        <v>66655.035000000003</v>
      </c>
      <c r="Z344" s="106">
        <f t="shared" si="128"/>
        <v>7998604</v>
      </c>
      <c r="AA344" s="48"/>
      <c r="AB344" s="48"/>
      <c r="AC344" s="48"/>
      <c r="AD344" s="108">
        <f t="shared" si="129"/>
        <v>7998604</v>
      </c>
    </row>
    <row r="345" spans="1:30" ht="15" x14ac:dyDescent="0.2">
      <c r="A345" s="148"/>
      <c r="B345" s="101" t="s">
        <v>1108</v>
      </c>
      <c r="C345" s="102" t="s">
        <v>436</v>
      </c>
      <c r="D345" s="103" t="s">
        <v>5</v>
      </c>
      <c r="E345" s="147"/>
      <c r="F345" s="48">
        <v>1029440</v>
      </c>
      <c r="G345" s="48">
        <f t="shared" si="126"/>
        <v>0</v>
      </c>
      <c r="H345" s="95"/>
      <c r="I345" s="95"/>
      <c r="J345" s="96"/>
      <c r="K345" s="96"/>
      <c r="L345" s="91"/>
      <c r="M345" s="91"/>
      <c r="N345" s="91"/>
      <c r="O345" s="91"/>
      <c r="P345" s="91"/>
      <c r="Q345" s="91"/>
      <c r="R345" s="97">
        <f t="shared" si="125"/>
        <v>0</v>
      </c>
      <c r="S345" s="98">
        <v>1389744</v>
      </c>
      <c r="T345" s="97"/>
      <c r="U345" s="100">
        <f t="shared" si="130"/>
        <v>0</v>
      </c>
      <c r="V345" s="107">
        <f t="shared" si="131"/>
        <v>0</v>
      </c>
      <c r="W345" s="91"/>
      <c r="X345" s="172">
        <v>1</v>
      </c>
      <c r="Y345" s="144">
        <f t="shared" si="127"/>
        <v>1065470.3999999999</v>
      </c>
      <c r="Z345" s="106">
        <f t="shared" si="128"/>
        <v>1065470</v>
      </c>
      <c r="AA345" s="48"/>
      <c r="AB345" s="48"/>
      <c r="AC345" s="48"/>
      <c r="AD345" s="108">
        <f t="shared" si="129"/>
        <v>1065470</v>
      </c>
    </row>
    <row r="346" spans="1:30" ht="15" x14ac:dyDescent="0.2">
      <c r="A346" s="148"/>
      <c r="B346" s="101" t="s">
        <v>1109</v>
      </c>
      <c r="C346" s="102" t="s">
        <v>437</v>
      </c>
      <c r="D346" s="103" t="s">
        <v>5</v>
      </c>
      <c r="E346" s="147"/>
      <c r="F346" s="48">
        <v>996440</v>
      </c>
      <c r="G346" s="48">
        <f t="shared" si="126"/>
        <v>0</v>
      </c>
      <c r="H346" s="95"/>
      <c r="I346" s="95"/>
      <c r="J346" s="96"/>
      <c r="K346" s="96"/>
      <c r="L346" s="91"/>
      <c r="M346" s="91"/>
      <c r="N346" s="91"/>
      <c r="O346" s="91"/>
      <c r="P346" s="91"/>
      <c r="Q346" s="91"/>
      <c r="R346" s="97">
        <f t="shared" si="125"/>
        <v>0</v>
      </c>
      <c r="S346" s="98">
        <v>1345194</v>
      </c>
      <c r="T346" s="97"/>
      <c r="U346" s="100">
        <f t="shared" si="130"/>
        <v>0</v>
      </c>
      <c r="V346" s="107">
        <f t="shared" si="131"/>
        <v>0</v>
      </c>
      <c r="W346" s="91"/>
      <c r="X346" s="172">
        <v>1</v>
      </c>
      <c r="Y346" s="144">
        <f t="shared" si="127"/>
        <v>1031315.4</v>
      </c>
      <c r="Z346" s="106">
        <f t="shared" si="128"/>
        <v>1031315</v>
      </c>
      <c r="AA346" s="48"/>
      <c r="AB346" s="48"/>
      <c r="AC346" s="48"/>
      <c r="AD346" s="108">
        <f t="shared" si="129"/>
        <v>1031315</v>
      </c>
    </row>
    <row r="347" spans="1:30" ht="15" x14ac:dyDescent="0.2">
      <c r="A347" s="148"/>
      <c r="B347" s="101" t="s">
        <v>1110</v>
      </c>
      <c r="C347" s="102" t="s">
        <v>409</v>
      </c>
      <c r="D347" s="103" t="s">
        <v>5</v>
      </c>
      <c r="E347" s="147"/>
      <c r="F347" s="48">
        <v>1400000</v>
      </c>
      <c r="G347" s="48">
        <f t="shared" si="126"/>
        <v>0</v>
      </c>
      <c r="H347" s="95"/>
      <c r="I347" s="95"/>
      <c r="J347" s="96"/>
      <c r="K347" s="96"/>
      <c r="L347" s="91"/>
      <c r="M347" s="91"/>
      <c r="N347" s="91"/>
      <c r="O347" s="91"/>
      <c r="P347" s="91"/>
      <c r="Q347" s="91"/>
      <c r="R347" s="97">
        <f t="shared" si="125"/>
        <v>0</v>
      </c>
      <c r="S347" s="98">
        <v>5670000</v>
      </c>
      <c r="T347" s="97"/>
      <c r="U347" s="100">
        <f t="shared" si="130"/>
        <v>0</v>
      </c>
      <c r="V347" s="107">
        <f t="shared" si="131"/>
        <v>0</v>
      </c>
      <c r="W347" s="91"/>
      <c r="X347" s="172">
        <v>3</v>
      </c>
      <c r="Y347" s="144">
        <f t="shared" si="127"/>
        <v>1449000</v>
      </c>
      <c r="Z347" s="106">
        <f t="shared" si="128"/>
        <v>4347000</v>
      </c>
      <c r="AA347" s="48"/>
      <c r="AB347" s="48"/>
      <c r="AC347" s="48"/>
      <c r="AD347" s="108">
        <f t="shared" si="129"/>
        <v>4347000</v>
      </c>
    </row>
    <row r="348" spans="1:30" ht="15" x14ac:dyDescent="0.2">
      <c r="A348" s="91"/>
      <c r="B348" s="111" t="s">
        <v>1111</v>
      </c>
      <c r="C348" s="93" t="s">
        <v>438</v>
      </c>
      <c r="D348" s="92"/>
      <c r="E348" s="93"/>
      <c r="F348" s="113"/>
      <c r="G348" s="113">
        <f>SUM(G349:G365)</f>
        <v>0</v>
      </c>
      <c r="H348" s="95"/>
      <c r="I348" s="95"/>
      <c r="J348" s="96"/>
      <c r="K348" s="96"/>
      <c r="L348" s="91"/>
      <c r="M348" s="91"/>
      <c r="N348" s="91"/>
      <c r="O348" s="91"/>
      <c r="P348" s="91"/>
      <c r="Q348" s="91"/>
      <c r="R348" s="97">
        <f t="shared" si="125"/>
        <v>0</v>
      </c>
      <c r="S348" s="98">
        <v>19058427.278999999</v>
      </c>
      <c r="T348" s="97"/>
      <c r="U348" s="100">
        <f t="shared" si="130"/>
        <v>0</v>
      </c>
      <c r="V348" s="107"/>
      <c r="W348" s="91"/>
      <c r="X348" s="113"/>
      <c r="Y348" s="113"/>
      <c r="Z348" s="113">
        <f>SUM(Z349:Z365)</f>
        <v>14611462</v>
      </c>
      <c r="AA348" s="113"/>
      <c r="AB348" s="113"/>
      <c r="AC348" s="113"/>
      <c r="AD348" s="94">
        <f>G348+Z348+AC348</f>
        <v>14611462</v>
      </c>
    </row>
    <row r="349" spans="1:30" ht="15" x14ac:dyDescent="0.2">
      <c r="A349" s="148"/>
      <c r="B349" s="101" t="s">
        <v>1112</v>
      </c>
      <c r="C349" s="150" t="s">
        <v>886</v>
      </c>
      <c r="D349" s="103" t="s">
        <v>11</v>
      </c>
      <c r="E349" s="147"/>
      <c r="F349" s="48">
        <v>221178.60250000001</v>
      </c>
      <c r="G349" s="48">
        <f t="shared" si="126"/>
        <v>0</v>
      </c>
      <c r="H349" s="95"/>
      <c r="I349" s="95"/>
      <c r="J349" s="96"/>
      <c r="K349" s="96"/>
      <c r="L349" s="91"/>
      <c r="M349" s="91"/>
      <c r="N349" s="91"/>
      <c r="O349" s="91"/>
      <c r="P349" s="91"/>
      <c r="Q349" s="91"/>
      <c r="R349" s="97">
        <f t="shared" si="125"/>
        <v>0</v>
      </c>
      <c r="S349" s="98">
        <v>6569004.4942499995</v>
      </c>
      <c r="T349" s="97"/>
      <c r="U349" s="100">
        <f t="shared" si="130"/>
        <v>0</v>
      </c>
      <c r="V349" s="107">
        <f t="shared" si="131"/>
        <v>0</v>
      </c>
      <c r="W349" s="91"/>
      <c r="X349" s="172">
        <v>22</v>
      </c>
      <c r="Y349" s="144">
        <f t="shared" ref="Y349:Y364" si="132">(F349*3.5%)+F349</f>
        <v>228919.85358749999</v>
      </c>
      <c r="Z349" s="106">
        <f t="shared" ref="Z349:Z364" si="133">ROUND(X349*Y349,0)</f>
        <v>5036237</v>
      </c>
      <c r="AA349" s="48"/>
      <c r="AB349" s="48"/>
      <c r="AC349" s="48"/>
      <c r="AD349" s="108">
        <f t="shared" ref="AD349:AD365" si="134">G349+Z349+AC349</f>
        <v>5036237</v>
      </c>
    </row>
    <row r="350" spans="1:30" ht="15" x14ac:dyDescent="0.2">
      <c r="A350" s="148"/>
      <c r="B350" s="101" t="s">
        <v>1113</v>
      </c>
      <c r="C350" s="150" t="s">
        <v>887</v>
      </c>
      <c r="D350" s="103" t="s">
        <v>215</v>
      </c>
      <c r="E350" s="147"/>
      <c r="F350" s="48">
        <v>60607.852500000008</v>
      </c>
      <c r="G350" s="48">
        <f t="shared" si="126"/>
        <v>0</v>
      </c>
      <c r="H350" s="95"/>
      <c r="I350" s="95"/>
      <c r="J350" s="96"/>
      <c r="K350" s="96"/>
      <c r="L350" s="91"/>
      <c r="M350" s="91"/>
      <c r="N350" s="91"/>
      <c r="O350" s="91"/>
      <c r="P350" s="91"/>
      <c r="Q350" s="91"/>
      <c r="R350" s="97">
        <f t="shared" si="125"/>
        <v>0</v>
      </c>
      <c r="S350" s="98">
        <v>1145488.4122500001</v>
      </c>
      <c r="T350" s="97"/>
      <c r="U350" s="100">
        <f t="shared" si="130"/>
        <v>0</v>
      </c>
      <c r="V350" s="107">
        <f t="shared" si="131"/>
        <v>0</v>
      </c>
      <c r="W350" s="91"/>
      <c r="X350" s="172">
        <v>14</v>
      </c>
      <c r="Y350" s="144">
        <f t="shared" si="132"/>
        <v>62729.127337500009</v>
      </c>
      <c r="Z350" s="106">
        <f t="shared" si="133"/>
        <v>878208</v>
      </c>
      <c r="AA350" s="48"/>
      <c r="AB350" s="48"/>
      <c r="AC350" s="48"/>
      <c r="AD350" s="108">
        <f t="shared" si="134"/>
        <v>878208</v>
      </c>
    </row>
    <row r="351" spans="1:30" ht="15" x14ac:dyDescent="0.2">
      <c r="A351" s="148"/>
      <c r="B351" s="101" t="s">
        <v>1114</v>
      </c>
      <c r="C351" s="150" t="s">
        <v>888</v>
      </c>
      <c r="D351" s="103" t="s">
        <v>215</v>
      </c>
      <c r="E351" s="147"/>
      <c r="F351" s="48">
        <v>37365.152499999997</v>
      </c>
      <c r="G351" s="48">
        <f t="shared" si="126"/>
        <v>0</v>
      </c>
      <c r="H351" s="95"/>
      <c r="I351" s="95"/>
      <c r="J351" s="96"/>
      <c r="K351" s="96"/>
      <c r="L351" s="91"/>
      <c r="M351" s="91"/>
      <c r="N351" s="91"/>
      <c r="O351" s="91"/>
      <c r="P351" s="91"/>
      <c r="Q351" s="91"/>
      <c r="R351" s="97">
        <f t="shared" si="125"/>
        <v>0</v>
      </c>
      <c r="S351" s="98">
        <v>1614174.5879999998</v>
      </c>
      <c r="T351" s="97"/>
      <c r="U351" s="100">
        <f t="shared" si="130"/>
        <v>0</v>
      </c>
      <c r="V351" s="107">
        <f t="shared" si="131"/>
        <v>0</v>
      </c>
      <c r="W351" s="91"/>
      <c r="X351" s="172">
        <v>32</v>
      </c>
      <c r="Y351" s="144">
        <f t="shared" si="132"/>
        <v>38672.932837499997</v>
      </c>
      <c r="Z351" s="106">
        <f t="shared" si="133"/>
        <v>1237534</v>
      </c>
      <c r="AA351" s="48"/>
      <c r="AB351" s="48"/>
      <c r="AC351" s="48"/>
      <c r="AD351" s="108">
        <f t="shared" si="134"/>
        <v>1237534</v>
      </c>
    </row>
    <row r="352" spans="1:30" ht="15" x14ac:dyDescent="0.2">
      <c r="A352" s="148"/>
      <c r="B352" s="101" t="s">
        <v>1115</v>
      </c>
      <c r="C352" s="150" t="s">
        <v>889</v>
      </c>
      <c r="D352" s="103" t="s">
        <v>215</v>
      </c>
      <c r="E352" s="147"/>
      <c r="F352" s="48">
        <v>98343.152500000011</v>
      </c>
      <c r="G352" s="48">
        <f t="shared" si="126"/>
        <v>0</v>
      </c>
      <c r="H352" s="95"/>
      <c r="I352" s="95"/>
      <c r="J352" s="96"/>
      <c r="K352" s="96"/>
      <c r="L352" s="91"/>
      <c r="M352" s="91"/>
      <c r="N352" s="91"/>
      <c r="O352" s="91"/>
      <c r="P352" s="91"/>
      <c r="Q352" s="91"/>
      <c r="R352" s="97">
        <f t="shared" si="125"/>
        <v>0</v>
      </c>
      <c r="S352" s="98">
        <v>265526.51175000001</v>
      </c>
      <c r="T352" s="97"/>
      <c r="U352" s="100">
        <f t="shared" si="130"/>
        <v>0</v>
      </c>
      <c r="V352" s="107">
        <f t="shared" si="131"/>
        <v>0</v>
      </c>
      <c r="W352" s="91"/>
      <c r="X352" s="172">
        <v>2</v>
      </c>
      <c r="Y352" s="144">
        <f t="shared" si="132"/>
        <v>101785.16283750001</v>
      </c>
      <c r="Z352" s="106">
        <f t="shared" si="133"/>
        <v>203570</v>
      </c>
      <c r="AA352" s="48"/>
      <c r="AB352" s="48"/>
      <c r="AC352" s="48"/>
      <c r="AD352" s="108">
        <f t="shared" si="134"/>
        <v>203570</v>
      </c>
    </row>
    <row r="353" spans="1:30" ht="15" x14ac:dyDescent="0.2">
      <c r="A353" s="148">
        <v>410201</v>
      </c>
      <c r="B353" s="101" t="s">
        <v>1116</v>
      </c>
      <c r="C353" s="150" t="s">
        <v>890</v>
      </c>
      <c r="D353" s="103" t="s">
        <v>215</v>
      </c>
      <c r="E353" s="147"/>
      <c r="F353" s="48">
        <v>12000</v>
      </c>
      <c r="G353" s="48">
        <f t="shared" si="126"/>
        <v>0</v>
      </c>
      <c r="H353" s="95"/>
      <c r="I353" s="95"/>
      <c r="J353" s="96"/>
      <c r="K353" s="96"/>
      <c r="L353" s="91"/>
      <c r="M353" s="91"/>
      <c r="N353" s="91"/>
      <c r="O353" s="91"/>
      <c r="P353" s="91"/>
      <c r="Q353" s="91"/>
      <c r="R353" s="97">
        <f t="shared" si="125"/>
        <v>0</v>
      </c>
      <c r="S353" s="98">
        <v>16200</v>
      </c>
      <c r="T353" s="97"/>
      <c r="U353" s="100">
        <f t="shared" si="130"/>
        <v>0</v>
      </c>
      <c r="V353" s="107">
        <f t="shared" si="131"/>
        <v>0</v>
      </c>
      <c r="W353" s="91"/>
      <c r="X353" s="172">
        <v>1</v>
      </c>
      <c r="Y353" s="144">
        <f t="shared" si="132"/>
        <v>12420</v>
      </c>
      <c r="Z353" s="106">
        <f t="shared" si="133"/>
        <v>12420</v>
      </c>
      <c r="AA353" s="48"/>
      <c r="AB353" s="48"/>
      <c r="AC353" s="48"/>
      <c r="AD353" s="108">
        <f t="shared" si="134"/>
        <v>12420</v>
      </c>
    </row>
    <row r="354" spans="1:30" ht="15" x14ac:dyDescent="0.2">
      <c r="A354" s="148">
        <v>160415</v>
      </c>
      <c r="B354" s="101" t="s">
        <v>1117</v>
      </c>
      <c r="C354" s="150" t="s">
        <v>891</v>
      </c>
      <c r="D354" s="103" t="s">
        <v>215</v>
      </c>
      <c r="E354" s="147"/>
      <c r="F354" s="48">
        <v>12000</v>
      </c>
      <c r="G354" s="48">
        <f t="shared" si="126"/>
        <v>0</v>
      </c>
      <c r="H354" s="95"/>
      <c r="I354" s="95"/>
      <c r="J354" s="96"/>
      <c r="K354" s="96"/>
      <c r="L354" s="91"/>
      <c r="M354" s="91"/>
      <c r="N354" s="91"/>
      <c r="O354" s="91"/>
      <c r="P354" s="91"/>
      <c r="Q354" s="91"/>
      <c r="R354" s="97">
        <f t="shared" si="125"/>
        <v>0</v>
      </c>
      <c r="S354" s="98">
        <v>16200</v>
      </c>
      <c r="T354" s="97"/>
      <c r="U354" s="100">
        <f t="shared" si="130"/>
        <v>0</v>
      </c>
      <c r="V354" s="107">
        <f t="shared" si="131"/>
        <v>0</v>
      </c>
      <c r="W354" s="91"/>
      <c r="X354" s="172">
        <v>1</v>
      </c>
      <c r="Y354" s="144">
        <f t="shared" si="132"/>
        <v>12420</v>
      </c>
      <c r="Z354" s="106">
        <f t="shared" si="133"/>
        <v>12420</v>
      </c>
      <c r="AA354" s="48"/>
      <c r="AB354" s="48"/>
      <c r="AC354" s="48"/>
      <c r="AD354" s="108">
        <f t="shared" si="134"/>
        <v>12420</v>
      </c>
    </row>
    <row r="355" spans="1:30" ht="15" x14ac:dyDescent="0.2">
      <c r="A355" s="148">
        <v>160415</v>
      </c>
      <c r="B355" s="101" t="s">
        <v>1118</v>
      </c>
      <c r="C355" s="150" t="s">
        <v>892</v>
      </c>
      <c r="D355" s="103" t="s">
        <v>11</v>
      </c>
      <c r="E355" s="147"/>
      <c r="F355" s="48">
        <v>53857.752500000002</v>
      </c>
      <c r="G355" s="48">
        <f t="shared" si="126"/>
        <v>0</v>
      </c>
      <c r="H355" s="95"/>
      <c r="I355" s="95"/>
      <c r="J355" s="96"/>
      <c r="K355" s="96"/>
      <c r="L355" s="91"/>
      <c r="M355" s="91"/>
      <c r="N355" s="91"/>
      <c r="O355" s="91"/>
      <c r="P355" s="91"/>
      <c r="Q355" s="91"/>
      <c r="R355" s="97">
        <f t="shared" si="125"/>
        <v>0</v>
      </c>
      <c r="S355" s="98">
        <v>727079.65874999994</v>
      </c>
      <c r="T355" s="97"/>
      <c r="U355" s="100">
        <f t="shared" si="130"/>
        <v>0</v>
      </c>
      <c r="V355" s="107">
        <f t="shared" si="131"/>
        <v>0</v>
      </c>
      <c r="W355" s="91"/>
      <c r="X355" s="172">
        <v>10</v>
      </c>
      <c r="Y355" s="144">
        <f t="shared" si="132"/>
        <v>55742.773837500004</v>
      </c>
      <c r="Z355" s="106">
        <f t="shared" si="133"/>
        <v>557428</v>
      </c>
      <c r="AA355" s="48"/>
      <c r="AB355" s="48"/>
      <c r="AC355" s="48"/>
      <c r="AD355" s="108">
        <f t="shared" si="134"/>
        <v>557428</v>
      </c>
    </row>
    <row r="356" spans="1:30" ht="15" x14ac:dyDescent="0.2">
      <c r="A356" s="148"/>
      <c r="B356" s="101" t="s">
        <v>1119</v>
      </c>
      <c r="C356" s="150" t="s">
        <v>893</v>
      </c>
      <c r="D356" s="103" t="s">
        <v>215</v>
      </c>
      <c r="E356" s="147"/>
      <c r="F356" s="48">
        <v>9998.7024999999994</v>
      </c>
      <c r="G356" s="48">
        <f t="shared" si="126"/>
        <v>0</v>
      </c>
      <c r="H356" s="95"/>
      <c r="I356" s="95"/>
      <c r="J356" s="96"/>
      <c r="K356" s="96"/>
      <c r="L356" s="91"/>
      <c r="M356" s="91"/>
      <c r="N356" s="91"/>
      <c r="O356" s="91"/>
      <c r="P356" s="91"/>
      <c r="Q356" s="91"/>
      <c r="R356" s="97">
        <f t="shared" si="125"/>
        <v>0</v>
      </c>
      <c r="S356" s="98">
        <v>53992.993499999997</v>
      </c>
      <c r="T356" s="97"/>
      <c r="U356" s="100">
        <f t="shared" si="130"/>
        <v>0</v>
      </c>
      <c r="V356" s="107">
        <f t="shared" si="131"/>
        <v>0</v>
      </c>
      <c r="W356" s="91"/>
      <c r="X356" s="172">
        <v>4</v>
      </c>
      <c r="Y356" s="144">
        <f t="shared" si="132"/>
        <v>10348.6570875</v>
      </c>
      <c r="Z356" s="106">
        <f t="shared" si="133"/>
        <v>41395</v>
      </c>
      <c r="AA356" s="48"/>
      <c r="AB356" s="48"/>
      <c r="AC356" s="48"/>
      <c r="AD356" s="108">
        <f t="shared" si="134"/>
        <v>41395</v>
      </c>
    </row>
    <row r="357" spans="1:30" ht="15" x14ac:dyDescent="0.2">
      <c r="A357" s="148"/>
      <c r="B357" s="101" t="s">
        <v>1120</v>
      </c>
      <c r="C357" s="150" t="s">
        <v>894</v>
      </c>
      <c r="D357" s="103" t="s">
        <v>215</v>
      </c>
      <c r="E357" s="147"/>
      <c r="F357" s="48">
        <v>12497.702500000001</v>
      </c>
      <c r="G357" s="48">
        <f t="shared" si="126"/>
        <v>0</v>
      </c>
      <c r="H357" s="95"/>
      <c r="I357" s="95"/>
      <c r="J357" s="96"/>
      <c r="K357" s="96"/>
      <c r="L357" s="91"/>
      <c r="M357" s="91"/>
      <c r="N357" s="91"/>
      <c r="O357" s="91"/>
      <c r="P357" s="91"/>
      <c r="Q357" s="91"/>
      <c r="R357" s="97">
        <f t="shared" si="125"/>
        <v>0</v>
      </c>
      <c r="S357" s="98">
        <v>101231.39025000003</v>
      </c>
      <c r="T357" s="97"/>
      <c r="U357" s="100">
        <f t="shared" si="130"/>
        <v>0</v>
      </c>
      <c r="V357" s="107">
        <f t="shared" si="131"/>
        <v>0</v>
      </c>
      <c r="W357" s="91"/>
      <c r="X357" s="172">
        <v>6</v>
      </c>
      <c r="Y357" s="144">
        <f t="shared" si="132"/>
        <v>12935.122087500002</v>
      </c>
      <c r="Z357" s="106">
        <f t="shared" si="133"/>
        <v>77611</v>
      </c>
      <c r="AA357" s="48"/>
      <c r="AB357" s="48"/>
      <c r="AC357" s="48"/>
      <c r="AD357" s="108">
        <f t="shared" si="134"/>
        <v>77611</v>
      </c>
    </row>
    <row r="358" spans="1:30" ht="15" x14ac:dyDescent="0.2">
      <c r="A358" s="148"/>
      <c r="B358" s="101" t="s">
        <v>1121</v>
      </c>
      <c r="C358" s="150" t="s">
        <v>895</v>
      </c>
      <c r="D358" s="103" t="s">
        <v>215</v>
      </c>
      <c r="E358" s="147"/>
      <c r="F358" s="48">
        <v>340000</v>
      </c>
      <c r="G358" s="48">
        <f t="shared" si="126"/>
        <v>0</v>
      </c>
      <c r="H358" s="95"/>
      <c r="I358" s="95"/>
      <c r="J358" s="96"/>
      <c r="K358" s="96"/>
      <c r="L358" s="91"/>
      <c r="M358" s="91"/>
      <c r="N358" s="91"/>
      <c r="O358" s="91"/>
      <c r="P358" s="91"/>
      <c r="Q358" s="91"/>
      <c r="R358" s="97">
        <f t="shared" si="125"/>
        <v>0</v>
      </c>
      <c r="S358" s="98">
        <v>459000</v>
      </c>
      <c r="T358" s="97"/>
      <c r="U358" s="100">
        <f t="shared" si="130"/>
        <v>0</v>
      </c>
      <c r="V358" s="107">
        <f t="shared" si="131"/>
        <v>0</v>
      </c>
      <c r="W358" s="91"/>
      <c r="X358" s="172">
        <v>1</v>
      </c>
      <c r="Y358" s="144">
        <f t="shared" si="132"/>
        <v>351900</v>
      </c>
      <c r="Z358" s="106">
        <f t="shared" si="133"/>
        <v>351900</v>
      </c>
      <c r="AA358" s="48"/>
      <c r="AB358" s="48"/>
      <c r="AC358" s="48"/>
      <c r="AD358" s="108">
        <f t="shared" si="134"/>
        <v>351900</v>
      </c>
    </row>
    <row r="359" spans="1:30" ht="15" x14ac:dyDescent="0.2">
      <c r="A359" s="148"/>
      <c r="B359" s="101" t="s">
        <v>1122</v>
      </c>
      <c r="C359" s="150" t="s">
        <v>896</v>
      </c>
      <c r="D359" s="103" t="s">
        <v>215</v>
      </c>
      <c r="E359" s="147"/>
      <c r="F359" s="48">
        <v>180000</v>
      </c>
      <c r="G359" s="48">
        <f t="shared" si="126"/>
        <v>0</v>
      </c>
      <c r="H359" s="95"/>
      <c r="I359" s="95"/>
      <c r="J359" s="96"/>
      <c r="K359" s="96"/>
      <c r="L359" s="91"/>
      <c r="M359" s="91"/>
      <c r="N359" s="91"/>
      <c r="O359" s="91"/>
      <c r="P359" s="91"/>
      <c r="Q359" s="91"/>
      <c r="R359" s="97">
        <f t="shared" si="125"/>
        <v>0</v>
      </c>
      <c r="S359" s="98">
        <v>243000</v>
      </c>
      <c r="T359" s="97"/>
      <c r="U359" s="100">
        <f t="shared" si="130"/>
        <v>0</v>
      </c>
      <c r="V359" s="107">
        <f t="shared" si="131"/>
        <v>0</v>
      </c>
      <c r="W359" s="91"/>
      <c r="X359" s="172">
        <v>1</v>
      </c>
      <c r="Y359" s="144">
        <f t="shared" si="132"/>
        <v>186300</v>
      </c>
      <c r="Z359" s="106">
        <f t="shared" si="133"/>
        <v>186300</v>
      </c>
      <c r="AA359" s="48"/>
      <c r="AB359" s="48"/>
      <c r="AC359" s="48"/>
      <c r="AD359" s="108">
        <f t="shared" si="134"/>
        <v>186300</v>
      </c>
    </row>
    <row r="360" spans="1:30" ht="15" x14ac:dyDescent="0.2">
      <c r="A360" s="148"/>
      <c r="B360" s="101" t="s">
        <v>1123</v>
      </c>
      <c r="C360" s="150" t="s">
        <v>897</v>
      </c>
      <c r="D360" s="103" t="s">
        <v>215</v>
      </c>
      <c r="E360" s="147"/>
      <c r="F360" s="48">
        <v>1633927.3025000002</v>
      </c>
      <c r="G360" s="48">
        <f t="shared" si="126"/>
        <v>0</v>
      </c>
      <c r="H360" s="95"/>
      <c r="I360" s="95"/>
      <c r="J360" s="96"/>
      <c r="K360" s="96"/>
      <c r="L360" s="91"/>
      <c r="M360" s="91"/>
      <c r="N360" s="91"/>
      <c r="O360" s="91"/>
      <c r="P360" s="91"/>
      <c r="Q360" s="91"/>
      <c r="R360" s="97">
        <f t="shared" si="125"/>
        <v>0</v>
      </c>
      <c r="S360" s="98">
        <v>2205801.8583750003</v>
      </c>
      <c r="T360" s="97"/>
      <c r="U360" s="100">
        <f t="shared" si="130"/>
        <v>0</v>
      </c>
      <c r="V360" s="107">
        <f t="shared" si="131"/>
        <v>0</v>
      </c>
      <c r="W360" s="91"/>
      <c r="X360" s="172">
        <v>1</v>
      </c>
      <c r="Y360" s="144">
        <f t="shared" si="132"/>
        <v>1691114.7580875002</v>
      </c>
      <c r="Z360" s="106">
        <f t="shared" si="133"/>
        <v>1691115</v>
      </c>
      <c r="AA360" s="48"/>
      <c r="AB360" s="48"/>
      <c r="AC360" s="48"/>
      <c r="AD360" s="108">
        <f t="shared" si="134"/>
        <v>1691115</v>
      </c>
    </row>
    <row r="361" spans="1:30" ht="15" x14ac:dyDescent="0.2">
      <c r="A361" s="148"/>
      <c r="B361" s="101" t="s">
        <v>1124</v>
      </c>
      <c r="C361" s="150" t="s">
        <v>898</v>
      </c>
      <c r="D361" s="103" t="s">
        <v>215</v>
      </c>
      <c r="E361" s="147"/>
      <c r="F361" s="48">
        <v>668563.60250000004</v>
      </c>
      <c r="G361" s="48">
        <f t="shared" si="126"/>
        <v>0</v>
      </c>
      <c r="H361" s="95"/>
      <c r="I361" s="95"/>
      <c r="J361" s="96"/>
      <c r="K361" s="96"/>
      <c r="L361" s="91"/>
      <c r="M361" s="91"/>
      <c r="N361" s="91"/>
      <c r="O361" s="91"/>
      <c r="P361" s="91"/>
      <c r="Q361" s="91"/>
      <c r="R361" s="97">
        <f t="shared" si="125"/>
        <v>0</v>
      </c>
      <c r="S361" s="98">
        <v>902560.86337499996</v>
      </c>
      <c r="T361" s="97"/>
      <c r="U361" s="100">
        <f t="shared" si="130"/>
        <v>0</v>
      </c>
      <c r="V361" s="107">
        <f t="shared" si="131"/>
        <v>0</v>
      </c>
      <c r="W361" s="91"/>
      <c r="X361" s="172">
        <v>1</v>
      </c>
      <c r="Y361" s="144">
        <f t="shared" si="132"/>
        <v>691963.32858750003</v>
      </c>
      <c r="Z361" s="106">
        <f t="shared" si="133"/>
        <v>691963</v>
      </c>
      <c r="AA361" s="48"/>
      <c r="AB361" s="48"/>
      <c r="AC361" s="48"/>
      <c r="AD361" s="108">
        <f t="shared" si="134"/>
        <v>691963</v>
      </c>
    </row>
    <row r="362" spans="1:30" ht="26.5" customHeight="1" x14ac:dyDescent="0.2">
      <c r="A362" s="148"/>
      <c r="B362" s="101" t="s">
        <v>1125</v>
      </c>
      <c r="C362" s="150" t="s">
        <v>899</v>
      </c>
      <c r="D362" s="103" t="s">
        <v>215</v>
      </c>
      <c r="E362" s="147"/>
      <c r="F362" s="48">
        <v>2244151.1025</v>
      </c>
      <c r="G362" s="48">
        <f t="shared" si="126"/>
        <v>0</v>
      </c>
      <c r="H362" s="95"/>
      <c r="I362" s="95"/>
      <c r="J362" s="96"/>
      <c r="K362" s="96"/>
      <c r="L362" s="91"/>
      <c r="M362" s="91"/>
      <c r="N362" s="91"/>
      <c r="O362" s="91"/>
      <c r="P362" s="91"/>
      <c r="Q362" s="91"/>
      <c r="R362" s="97">
        <f t="shared" si="125"/>
        <v>0</v>
      </c>
      <c r="S362" s="98">
        <v>3029603.9883749997</v>
      </c>
      <c r="T362" s="97"/>
      <c r="U362" s="100">
        <f t="shared" si="130"/>
        <v>0</v>
      </c>
      <c r="V362" s="107">
        <f t="shared" si="131"/>
        <v>0</v>
      </c>
      <c r="W362" s="91"/>
      <c r="X362" s="172">
        <v>1</v>
      </c>
      <c r="Y362" s="144">
        <f t="shared" si="132"/>
        <v>2322696.3910874999</v>
      </c>
      <c r="Z362" s="106">
        <f t="shared" si="133"/>
        <v>2322696</v>
      </c>
      <c r="AA362" s="48"/>
      <c r="AB362" s="48"/>
      <c r="AC362" s="48"/>
      <c r="AD362" s="108">
        <f t="shared" si="134"/>
        <v>2322696</v>
      </c>
    </row>
    <row r="363" spans="1:30" ht="15" x14ac:dyDescent="0.2">
      <c r="A363" s="148"/>
      <c r="B363" s="101" t="s">
        <v>1126</v>
      </c>
      <c r="C363" s="150" t="s">
        <v>900</v>
      </c>
      <c r="D363" s="103" t="s">
        <v>215</v>
      </c>
      <c r="E363" s="147"/>
      <c r="F363" s="48">
        <v>487704.95250000001</v>
      </c>
      <c r="G363" s="48">
        <f t="shared" si="126"/>
        <v>0</v>
      </c>
      <c r="H363" s="95"/>
      <c r="I363" s="95"/>
      <c r="J363" s="96"/>
      <c r="K363" s="96"/>
      <c r="L363" s="91"/>
      <c r="M363" s="91"/>
      <c r="N363" s="91"/>
      <c r="O363" s="91"/>
      <c r="P363" s="91"/>
      <c r="Q363" s="91"/>
      <c r="R363" s="97">
        <f t="shared" si="125"/>
        <v>0</v>
      </c>
      <c r="S363" s="98">
        <v>658401.68587499997</v>
      </c>
      <c r="T363" s="97"/>
      <c r="U363" s="100">
        <f t="shared" si="130"/>
        <v>0</v>
      </c>
      <c r="V363" s="107">
        <f t="shared" si="131"/>
        <v>0</v>
      </c>
      <c r="W363" s="91"/>
      <c r="X363" s="172">
        <v>1</v>
      </c>
      <c r="Y363" s="144">
        <f t="shared" si="132"/>
        <v>504774.62583750003</v>
      </c>
      <c r="Z363" s="106">
        <f t="shared" si="133"/>
        <v>504775</v>
      </c>
      <c r="AA363" s="48"/>
      <c r="AB363" s="48"/>
      <c r="AC363" s="48"/>
      <c r="AD363" s="108">
        <f t="shared" si="134"/>
        <v>504775</v>
      </c>
    </row>
    <row r="364" spans="1:30" ht="15" x14ac:dyDescent="0.2">
      <c r="A364" s="148"/>
      <c r="B364" s="101" t="s">
        <v>1127</v>
      </c>
      <c r="C364" s="150" t="s">
        <v>901</v>
      </c>
      <c r="D364" s="103" t="s">
        <v>215</v>
      </c>
      <c r="E364" s="147"/>
      <c r="F364" s="48">
        <v>354407.30249999999</v>
      </c>
      <c r="G364" s="48">
        <f t="shared" si="126"/>
        <v>0</v>
      </c>
      <c r="H364" s="95"/>
      <c r="I364" s="95"/>
      <c r="J364" s="96"/>
      <c r="K364" s="96"/>
      <c r="L364" s="91"/>
      <c r="M364" s="91"/>
      <c r="N364" s="91"/>
      <c r="O364" s="91"/>
      <c r="P364" s="91"/>
      <c r="Q364" s="91"/>
      <c r="R364" s="97">
        <f t="shared" si="125"/>
        <v>0</v>
      </c>
      <c r="S364" s="98">
        <v>478449.85837500001</v>
      </c>
      <c r="T364" s="97"/>
      <c r="U364" s="100">
        <f t="shared" si="130"/>
        <v>0</v>
      </c>
      <c r="V364" s="107">
        <f t="shared" si="131"/>
        <v>0</v>
      </c>
      <c r="W364" s="91"/>
      <c r="X364" s="172">
        <v>1</v>
      </c>
      <c r="Y364" s="144">
        <f t="shared" si="132"/>
        <v>366811.55808749999</v>
      </c>
      <c r="Z364" s="106">
        <f t="shared" si="133"/>
        <v>366812</v>
      </c>
      <c r="AA364" s="48"/>
      <c r="AB364" s="48"/>
      <c r="AC364" s="48"/>
      <c r="AD364" s="108">
        <f t="shared" si="134"/>
        <v>366812</v>
      </c>
    </row>
    <row r="365" spans="1:30" ht="15" x14ac:dyDescent="0.2">
      <c r="A365" s="148"/>
      <c r="B365" s="101" t="s">
        <v>1128</v>
      </c>
      <c r="C365" s="150" t="s">
        <v>902</v>
      </c>
      <c r="D365" s="103" t="s">
        <v>215</v>
      </c>
      <c r="E365" s="147"/>
      <c r="F365" s="48">
        <v>424230.35249999998</v>
      </c>
      <c r="G365" s="48">
        <f t="shared" si="126"/>
        <v>0</v>
      </c>
      <c r="H365" s="95"/>
      <c r="I365" s="95"/>
      <c r="J365" s="96"/>
      <c r="K365" s="96"/>
      <c r="L365" s="91"/>
      <c r="M365" s="91"/>
      <c r="N365" s="91"/>
      <c r="O365" s="91"/>
      <c r="P365" s="91"/>
      <c r="Q365" s="91"/>
      <c r="R365" s="97">
        <f t="shared" si="125"/>
        <v>0</v>
      </c>
      <c r="S365" s="98">
        <v>572710.97587499989</v>
      </c>
      <c r="T365" s="97"/>
      <c r="U365" s="100">
        <f t="shared" si="130"/>
        <v>0</v>
      </c>
      <c r="V365" s="107">
        <f t="shared" si="131"/>
        <v>0</v>
      </c>
      <c r="W365" s="91"/>
      <c r="X365" s="172">
        <v>1</v>
      </c>
      <c r="Y365" s="144">
        <f>(F365*3.5%)+F365</f>
        <v>439078.41483749996</v>
      </c>
      <c r="Z365" s="106">
        <f>ROUND(X365*Y365,0)</f>
        <v>439078</v>
      </c>
      <c r="AA365" s="48"/>
      <c r="AB365" s="48"/>
      <c r="AC365" s="48"/>
      <c r="AD365" s="108">
        <f t="shared" si="134"/>
        <v>439078</v>
      </c>
    </row>
    <row r="366" spans="1:30" x14ac:dyDescent="0.2">
      <c r="A366" s="91"/>
      <c r="B366" s="103"/>
      <c r="C366" s="102"/>
      <c r="D366" s="103"/>
      <c r="E366" s="102"/>
      <c r="F366" s="106"/>
      <c r="G366" s="110"/>
      <c r="H366" s="95"/>
      <c r="I366" s="95"/>
      <c r="J366" s="96"/>
      <c r="K366" s="96"/>
      <c r="L366" s="91"/>
      <c r="M366" s="91"/>
      <c r="N366" s="91"/>
      <c r="O366" s="91"/>
      <c r="P366" s="91"/>
      <c r="Q366" s="91"/>
      <c r="R366" s="97">
        <f t="shared" si="125"/>
        <v>0</v>
      </c>
      <c r="S366" s="98">
        <v>0</v>
      </c>
      <c r="T366" s="97"/>
      <c r="U366" s="100">
        <f t="shared" si="130"/>
        <v>0</v>
      </c>
      <c r="V366" s="107">
        <f t="shared" si="131"/>
        <v>0</v>
      </c>
      <c r="W366" s="91"/>
      <c r="X366" s="110"/>
      <c r="Y366" s="110"/>
      <c r="Z366" s="110"/>
      <c r="AA366" s="110"/>
      <c r="AB366" s="110"/>
      <c r="AC366" s="110"/>
      <c r="AD366" s="108"/>
    </row>
    <row r="367" spans="1:30" ht="20" customHeight="1" x14ac:dyDescent="0.2">
      <c r="A367" s="91"/>
      <c r="B367" s="103"/>
      <c r="C367" s="207" t="s">
        <v>102</v>
      </c>
      <c r="D367" s="207"/>
      <c r="E367" s="207"/>
      <c r="F367" s="208"/>
      <c r="G367" s="123">
        <f>SUM(G212:G366)/2</f>
        <v>0</v>
      </c>
      <c r="H367" s="95"/>
      <c r="I367" s="95"/>
      <c r="J367" s="96"/>
      <c r="K367" s="96"/>
      <c r="L367" s="91"/>
      <c r="M367" s="91"/>
      <c r="N367" s="91"/>
      <c r="O367" s="91"/>
      <c r="P367" s="91"/>
      <c r="Q367" s="91"/>
      <c r="R367" s="121">
        <f t="shared" si="125"/>
        <v>0</v>
      </c>
      <c r="S367" s="98">
        <v>552268253.86224794</v>
      </c>
      <c r="T367" s="97"/>
      <c r="U367" s="100">
        <f t="shared" si="130"/>
        <v>0</v>
      </c>
      <c r="V367" s="107">
        <f t="shared" si="131"/>
        <v>0</v>
      </c>
      <c r="W367" s="91"/>
      <c r="X367" s="123"/>
      <c r="Y367" s="123"/>
      <c r="Z367" s="123">
        <f>SUM(Z212:Z366)/2</f>
        <v>422900591</v>
      </c>
      <c r="AA367" s="123"/>
      <c r="AB367" s="123"/>
      <c r="AC367" s="123"/>
      <c r="AD367" s="123">
        <f>SUM(AD212:AD366)/2</f>
        <v>422900591</v>
      </c>
    </row>
    <row r="368" spans="1:30" x14ac:dyDescent="0.2">
      <c r="A368" s="91"/>
      <c r="B368" s="103"/>
      <c r="C368" s="102"/>
      <c r="D368" s="103"/>
      <c r="E368" s="102"/>
      <c r="F368" s="106"/>
      <c r="G368" s="110"/>
      <c r="H368" s="95"/>
      <c r="I368" s="95"/>
      <c r="J368" s="96"/>
      <c r="K368" s="96"/>
      <c r="L368" s="91"/>
      <c r="M368" s="91"/>
      <c r="N368" s="91"/>
      <c r="O368" s="91"/>
      <c r="P368" s="91"/>
      <c r="Q368" s="91"/>
      <c r="R368" s="97">
        <f t="shared" si="125"/>
        <v>0</v>
      </c>
      <c r="S368" s="98">
        <v>0</v>
      </c>
      <c r="T368" s="97"/>
      <c r="U368" s="100">
        <f t="shared" si="130"/>
        <v>0</v>
      </c>
      <c r="V368" s="107">
        <f t="shared" si="131"/>
        <v>0</v>
      </c>
      <c r="W368" s="91"/>
      <c r="X368" s="91"/>
      <c r="Y368" s="91"/>
      <c r="Z368" s="91"/>
      <c r="AA368" s="91"/>
      <c r="AB368" s="91"/>
      <c r="AC368" s="91"/>
      <c r="AD368" s="91"/>
    </row>
    <row r="369" spans="1:30" ht="30" customHeight="1" x14ac:dyDescent="0.2">
      <c r="A369" s="91"/>
      <c r="B369" s="86">
        <v>15</v>
      </c>
      <c r="C369" s="209" t="s">
        <v>91</v>
      </c>
      <c r="D369" s="209"/>
      <c r="E369" s="209"/>
      <c r="F369" s="210"/>
      <c r="G369" s="151"/>
      <c r="H369" s="95"/>
      <c r="I369" s="95"/>
      <c r="J369" s="96"/>
      <c r="K369" s="96"/>
      <c r="L369" s="91"/>
      <c r="M369" s="91"/>
      <c r="N369" s="91"/>
      <c r="O369" s="91"/>
      <c r="P369" s="91"/>
      <c r="Q369" s="91"/>
      <c r="R369" s="97">
        <f t="shared" si="125"/>
        <v>0</v>
      </c>
      <c r="S369" s="98">
        <v>0</v>
      </c>
      <c r="T369" s="97"/>
      <c r="U369" s="100">
        <f t="shared" si="130"/>
        <v>0</v>
      </c>
      <c r="V369" s="107">
        <f t="shared" si="131"/>
        <v>0</v>
      </c>
      <c r="W369" s="91"/>
      <c r="X369" s="151"/>
      <c r="Y369" s="151"/>
      <c r="Z369" s="151"/>
      <c r="AA369" s="151"/>
      <c r="AB369" s="151"/>
      <c r="AC369" s="151"/>
      <c r="AD369" s="151"/>
    </row>
    <row r="370" spans="1:30" ht="15" x14ac:dyDescent="0.2">
      <c r="A370" s="91"/>
      <c r="B370" s="92" t="s">
        <v>751</v>
      </c>
      <c r="C370" s="93" t="s">
        <v>473</v>
      </c>
      <c r="D370" s="92"/>
      <c r="E370" s="93"/>
      <c r="F370" s="113"/>
      <c r="G370" s="113">
        <f>SUM(G371:G381)</f>
        <v>0</v>
      </c>
      <c r="H370" s="95"/>
      <c r="I370" s="95"/>
      <c r="J370" s="96"/>
      <c r="K370" s="96"/>
      <c r="L370" s="91"/>
      <c r="M370" s="91"/>
      <c r="N370" s="91"/>
      <c r="O370" s="91"/>
      <c r="P370" s="91"/>
      <c r="Q370" s="91"/>
      <c r="R370" s="97">
        <f t="shared" si="125"/>
        <v>0</v>
      </c>
      <c r="S370" s="98">
        <v>446469585.14052004</v>
      </c>
      <c r="T370" s="97"/>
      <c r="U370" s="100">
        <f t="shared" si="130"/>
        <v>0</v>
      </c>
      <c r="V370" s="107"/>
      <c r="W370" s="91"/>
      <c r="X370" s="113"/>
      <c r="Y370" s="113"/>
      <c r="Z370" s="113">
        <f>SUM(Z371:Z381)</f>
        <v>333495848</v>
      </c>
      <c r="AA370" s="113"/>
      <c r="AB370" s="113"/>
      <c r="AC370" s="113"/>
      <c r="AD370" s="94">
        <f>G370+Z370+AC370</f>
        <v>333495848</v>
      </c>
    </row>
    <row r="371" spans="1:30" ht="75" x14ac:dyDescent="0.2">
      <c r="A371" s="91"/>
      <c r="B371" s="103" t="s">
        <v>752</v>
      </c>
      <c r="C371" s="150" t="s">
        <v>968</v>
      </c>
      <c r="D371" s="103" t="s">
        <v>5</v>
      </c>
      <c r="E371" s="104"/>
      <c r="F371" s="106">
        <v>29193875</v>
      </c>
      <c r="G371" s="106">
        <f>F371*E371</f>
        <v>0</v>
      </c>
      <c r="H371" s="95"/>
      <c r="I371" s="95"/>
      <c r="J371" s="96"/>
      <c r="K371" s="96"/>
      <c r="L371" s="91"/>
      <c r="M371" s="91"/>
      <c r="N371" s="91"/>
      <c r="O371" s="91"/>
      <c r="P371" s="91"/>
      <c r="Q371" s="91"/>
      <c r="R371" s="97">
        <f t="shared" si="125"/>
        <v>0</v>
      </c>
      <c r="S371" s="98">
        <v>39411731.25</v>
      </c>
      <c r="T371" s="97"/>
      <c r="U371" s="100">
        <f t="shared" si="130"/>
        <v>0</v>
      </c>
      <c r="V371" s="107">
        <f t="shared" si="131"/>
        <v>0</v>
      </c>
      <c r="W371" s="91"/>
      <c r="X371" s="132">
        <v>1</v>
      </c>
      <c r="Y371" s="144">
        <f t="shared" ref="Y371:Y380" si="135">(F371*3.5%)+F371</f>
        <v>30215660.625</v>
      </c>
      <c r="Z371" s="106">
        <f t="shared" ref="Z371:Z381" si="136">ROUND(X371*Y371,0)</f>
        <v>30215661</v>
      </c>
      <c r="AA371" s="106"/>
      <c r="AB371" s="106"/>
      <c r="AC371" s="106"/>
      <c r="AD371" s="108">
        <f t="shared" ref="AD371:AD381" si="137">G371+Z371+AC371</f>
        <v>30215661</v>
      </c>
    </row>
    <row r="372" spans="1:30" ht="60" x14ac:dyDescent="0.2">
      <c r="A372" s="91"/>
      <c r="B372" s="103" t="s">
        <v>753</v>
      </c>
      <c r="C372" s="150" t="s">
        <v>969</v>
      </c>
      <c r="D372" s="103" t="s">
        <v>11</v>
      </c>
      <c r="E372" s="104"/>
      <c r="F372" s="106">
        <v>518742.712</v>
      </c>
      <c r="G372" s="106">
        <f t="shared" ref="G372:G381" si="138">F372*E372</f>
        <v>0</v>
      </c>
      <c r="H372" s="95"/>
      <c r="I372" s="95"/>
      <c r="J372" s="96"/>
      <c r="K372" s="96"/>
      <c r="L372" s="91"/>
      <c r="M372" s="91"/>
      <c r="N372" s="91"/>
      <c r="O372" s="91"/>
      <c r="P372" s="91"/>
      <c r="Q372" s="91"/>
      <c r="R372" s="97">
        <f t="shared" si="125"/>
        <v>0</v>
      </c>
      <c r="S372" s="98">
        <v>63727542.169200003</v>
      </c>
      <c r="T372" s="97"/>
      <c r="U372" s="100">
        <f t="shared" si="130"/>
        <v>0</v>
      </c>
      <c r="V372" s="107">
        <f t="shared" si="131"/>
        <v>0</v>
      </c>
      <c r="W372" s="91"/>
      <c r="X372" s="132">
        <v>91</v>
      </c>
      <c r="Y372" s="144">
        <f t="shared" si="135"/>
        <v>536898.70692000003</v>
      </c>
      <c r="Z372" s="106">
        <f t="shared" si="136"/>
        <v>48857782</v>
      </c>
      <c r="AA372" s="106"/>
      <c r="AB372" s="106"/>
      <c r="AC372" s="106"/>
      <c r="AD372" s="108">
        <f t="shared" si="137"/>
        <v>48857782</v>
      </c>
    </row>
    <row r="373" spans="1:30" ht="75" x14ac:dyDescent="0.2">
      <c r="A373" s="91"/>
      <c r="B373" s="103" t="s">
        <v>754</v>
      </c>
      <c r="C373" s="150" t="s">
        <v>970</v>
      </c>
      <c r="D373" s="103" t="s">
        <v>11</v>
      </c>
      <c r="E373" s="104"/>
      <c r="F373" s="106">
        <v>518742.712</v>
      </c>
      <c r="G373" s="106">
        <f t="shared" si="138"/>
        <v>0</v>
      </c>
      <c r="H373" s="95"/>
      <c r="I373" s="95"/>
      <c r="J373" s="96"/>
      <c r="K373" s="96"/>
      <c r="L373" s="91"/>
      <c r="M373" s="91"/>
      <c r="N373" s="91"/>
      <c r="O373" s="91"/>
      <c r="P373" s="91"/>
      <c r="Q373" s="91"/>
      <c r="R373" s="97">
        <f t="shared" si="125"/>
        <v>0</v>
      </c>
      <c r="S373" s="98">
        <v>63727542.169200003</v>
      </c>
      <c r="T373" s="97"/>
      <c r="U373" s="100">
        <f t="shared" si="130"/>
        <v>0</v>
      </c>
      <c r="V373" s="107">
        <f t="shared" si="131"/>
        <v>0</v>
      </c>
      <c r="W373" s="91"/>
      <c r="X373" s="132">
        <v>91</v>
      </c>
      <c r="Y373" s="144">
        <f t="shared" si="135"/>
        <v>536898.70692000003</v>
      </c>
      <c r="Z373" s="106">
        <f t="shared" si="136"/>
        <v>48857782</v>
      </c>
      <c r="AA373" s="106"/>
      <c r="AB373" s="106"/>
      <c r="AC373" s="106"/>
      <c r="AD373" s="108">
        <f t="shared" si="137"/>
        <v>48857782</v>
      </c>
    </row>
    <row r="374" spans="1:30" ht="75" x14ac:dyDescent="0.2">
      <c r="A374" s="91"/>
      <c r="B374" s="103" t="s">
        <v>755</v>
      </c>
      <c r="C374" s="150" t="s">
        <v>971</v>
      </c>
      <c r="D374" s="103" t="s">
        <v>11</v>
      </c>
      <c r="E374" s="104"/>
      <c r="F374" s="106">
        <v>201299.14799999999</v>
      </c>
      <c r="G374" s="106">
        <f t="shared" si="138"/>
        <v>0</v>
      </c>
      <c r="H374" s="95"/>
      <c r="I374" s="95"/>
      <c r="J374" s="96"/>
      <c r="K374" s="96"/>
      <c r="L374" s="91"/>
      <c r="M374" s="91"/>
      <c r="N374" s="91"/>
      <c r="O374" s="91"/>
      <c r="P374" s="91"/>
      <c r="Q374" s="91"/>
      <c r="R374" s="97">
        <f t="shared" si="125"/>
        <v>0</v>
      </c>
      <c r="S374" s="98">
        <v>3913255.4371199999</v>
      </c>
      <c r="T374" s="97"/>
      <c r="U374" s="100">
        <f t="shared" si="130"/>
        <v>0</v>
      </c>
      <c r="V374" s="107">
        <f t="shared" si="131"/>
        <v>0</v>
      </c>
      <c r="W374" s="91"/>
      <c r="X374" s="132">
        <v>14.4</v>
      </c>
      <c r="Y374" s="144">
        <f t="shared" si="135"/>
        <v>208344.61817999999</v>
      </c>
      <c r="Z374" s="106">
        <f t="shared" si="136"/>
        <v>3000163</v>
      </c>
      <c r="AA374" s="106"/>
      <c r="AB374" s="106"/>
      <c r="AC374" s="106"/>
      <c r="AD374" s="108">
        <f t="shared" si="137"/>
        <v>3000163</v>
      </c>
    </row>
    <row r="375" spans="1:30" ht="60" x14ac:dyDescent="0.2">
      <c r="A375" s="91"/>
      <c r="B375" s="103" t="s">
        <v>756</v>
      </c>
      <c r="C375" s="150" t="s">
        <v>972</v>
      </c>
      <c r="D375" s="103" t="s">
        <v>11</v>
      </c>
      <c r="E375" s="104"/>
      <c r="F375" s="106">
        <v>1006537.66</v>
      </c>
      <c r="G375" s="106">
        <f t="shared" si="138"/>
        <v>0</v>
      </c>
      <c r="H375" s="95"/>
      <c r="I375" s="95"/>
      <c r="J375" s="96"/>
      <c r="K375" s="96"/>
      <c r="L375" s="91"/>
      <c r="M375" s="91"/>
      <c r="N375" s="91"/>
      <c r="O375" s="91"/>
      <c r="P375" s="91"/>
      <c r="Q375" s="91"/>
      <c r="R375" s="97">
        <f t="shared" si="125"/>
        <v>0</v>
      </c>
      <c r="S375" s="98">
        <v>122294325.69</v>
      </c>
      <c r="T375" s="97"/>
      <c r="U375" s="100">
        <f t="shared" si="130"/>
        <v>0</v>
      </c>
      <c r="V375" s="107">
        <f t="shared" si="131"/>
        <v>0</v>
      </c>
      <c r="W375" s="91"/>
      <c r="X375" s="132">
        <v>90</v>
      </c>
      <c r="Y375" s="144">
        <f t="shared" si="135"/>
        <v>1041766.4781000001</v>
      </c>
      <c r="Z375" s="106">
        <f t="shared" si="136"/>
        <v>93758983</v>
      </c>
      <c r="AA375" s="106"/>
      <c r="AB375" s="106"/>
      <c r="AC375" s="106"/>
      <c r="AD375" s="108">
        <f t="shared" si="137"/>
        <v>93758983</v>
      </c>
    </row>
    <row r="376" spans="1:30" ht="30" x14ac:dyDescent="0.2">
      <c r="A376" s="91"/>
      <c r="B376" s="103" t="s">
        <v>757</v>
      </c>
      <c r="C376" s="150" t="s">
        <v>973</v>
      </c>
      <c r="D376" s="103" t="s">
        <v>5</v>
      </c>
      <c r="E376" s="104"/>
      <c r="F376" s="106">
        <v>29850000</v>
      </c>
      <c r="G376" s="106">
        <f t="shared" si="138"/>
        <v>0</v>
      </c>
      <c r="H376" s="95"/>
      <c r="I376" s="95"/>
      <c r="J376" s="96"/>
      <c r="K376" s="96"/>
      <c r="L376" s="91"/>
      <c r="M376" s="91"/>
      <c r="N376" s="91"/>
      <c r="O376" s="91"/>
      <c r="P376" s="91"/>
      <c r="Q376" s="91"/>
      <c r="R376" s="97">
        <f t="shared" si="125"/>
        <v>0</v>
      </c>
      <c r="S376" s="98">
        <v>40297500</v>
      </c>
      <c r="T376" s="97"/>
      <c r="U376" s="100">
        <f t="shared" si="130"/>
        <v>0</v>
      </c>
      <c r="V376" s="107">
        <f t="shared" si="131"/>
        <v>0</v>
      </c>
      <c r="W376" s="91"/>
      <c r="X376" s="132">
        <v>1</v>
      </c>
      <c r="Y376" s="144">
        <f t="shared" si="135"/>
        <v>30894750</v>
      </c>
      <c r="Z376" s="106">
        <f t="shared" si="136"/>
        <v>30894750</v>
      </c>
      <c r="AA376" s="106"/>
      <c r="AB376" s="106"/>
      <c r="AC376" s="106"/>
      <c r="AD376" s="108">
        <f t="shared" si="137"/>
        <v>30894750</v>
      </c>
    </row>
    <row r="377" spans="1:30" ht="75" x14ac:dyDescent="0.2">
      <c r="A377" s="91"/>
      <c r="B377" s="103" t="s">
        <v>758</v>
      </c>
      <c r="C377" s="150" t="s">
        <v>974</v>
      </c>
      <c r="D377" s="103" t="s">
        <v>5</v>
      </c>
      <c r="E377" s="104"/>
      <c r="F377" s="106">
        <v>17112811</v>
      </c>
      <c r="G377" s="106">
        <f t="shared" si="138"/>
        <v>0</v>
      </c>
      <c r="H377" s="95"/>
      <c r="I377" s="95"/>
      <c r="J377" s="96"/>
      <c r="K377" s="96"/>
      <c r="L377" s="91"/>
      <c r="M377" s="91"/>
      <c r="N377" s="91"/>
      <c r="O377" s="91"/>
      <c r="P377" s="91"/>
      <c r="Q377" s="91"/>
      <c r="R377" s="97">
        <f t="shared" ref="R377:R440" si="139">(G377*0.3)+G377+(G377*0.05)</f>
        <v>0</v>
      </c>
      <c r="S377" s="98">
        <v>23102294.850000001</v>
      </c>
      <c r="T377" s="97"/>
      <c r="U377" s="100">
        <f t="shared" si="130"/>
        <v>0</v>
      </c>
      <c r="V377" s="107">
        <f t="shared" si="131"/>
        <v>0</v>
      </c>
      <c r="W377" s="91"/>
      <c r="X377" s="132">
        <v>1</v>
      </c>
      <c r="Y377" s="144">
        <f t="shared" si="135"/>
        <v>17711759.385000002</v>
      </c>
      <c r="Z377" s="106">
        <f t="shared" si="136"/>
        <v>17711759</v>
      </c>
      <c r="AA377" s="106"/>
      <c r="AB377" s="106"/>
      <c r="AC377" s="106"/>
      <c r="AD377" s="108">
        <f t="shared" si="137"/>
        <v>17711759</v>
      </c>
    </row>
    <row r="378" spans="1:30" ht="105" x14ac:dyDescent="0.2">
      <c r="A378" s="91"/>
      <c r="B378" s="103" t="s">
        <v>759</v>
      </c>
      <c r="C378" s="150" t="s">
        <v>975</v>
      </c>
      <c r="D378" s="103" t="s">
        <v>5</v>
      </c>
      <c r="E378" s="104"/>
      <c r="F378" s="106">
        <v>16508690</v>
      </c>
      <c r="G378" s="106">
        <f t="shared" si="138"/>
        <v>0</v>
      </c>
      <c r="H378" s="95"/>
      <c r="I378" s="95"/>
      <c r="J378" s="96"/>
      <c r="K378" s="96"/>
      <c r="L378" s="91"/>
      <c r="M378" s="91"/>
      <c r="N378" s="91"/>
      <c r="O378" s="91"/>
      <c r="P378" s="91"/>
      <c r="Q378" s="91"/>
      <c r="R378" s="97">
        <f t="shared" si="139"/>
        <v>0</v>
      </c>
      <c r="S378" s="98">
        <v>22286731.5</v>
      </c>
      <c r="T378" s="97"/>
      <c r="U378" s="100">
        <f t="shared" si="130"/>
        <v>0</v>
      </c>
      <c r="V378" s="107">
        <f t="shared" si="131"/>
        <v>0</v>
      </c>
      <c r="W378" s="91"/>
      <c r="X378" s="132">
        <v>1</v>
      </c>
      <c r="Y378" s="144">
        <f t="shared" si="135"/>
        <v>17086494.149999999</v>
      </c>
      <c r="Z378" s="106">
        <f t="shared" si="136"/>
        <v>17086494</v>
      </c>
      <c r="AA378" s="106"/>
      <c r="AB378" s="106"/>
      <c r="AC378" s="106"/>
      <c r="AD378" s="108">
        <f t="shared" si="137"/>
        <v>17086494</v>
      </c>
    </row>
    <row r="379" spans="1:30" ht="75" x14ac:dyDescent="0.2">
      <c r="A379" s="91"/>
      <c r="B379" s="103" t="s">
        <v>760</v>
      </c>
      <c r="C379" s="150" t="s">
        <v>976</v>
      </c>
      <c r="D379" s="103" t="s">
        <v>5</v>
      </c>
      <c r="E379" s="104"/>
      <c r="F379" s="106">
        <v>30130467</v>
      </c>
      <c r="G379" s="106">
        <f t="shared" si="138"/>
        <v>0</v>
      </c>
      <c r="H379" s="95"/>
      <c r="I379" s="95"/>
      <c r="J379" s="96"/>
      <c r="K379" s="96"/>
      <c r="L379" s="91"/>
      <c r="M379" s="91"/>
      <c r="N379" s="91"/>
      <c r="O379" s="91"/>
      <c r="P379" s="91"/>
      <c r="Q379" s="91"/>
      <c r="R379" s="97">
        <f t="shared" si="139"/>
        <v>0</v>
      </c>
      <c r="S379" s="98">
        <v>40676130.450000003</v>
      </c>
      <c r="T379" s="97"/>
      <c r="U379" s="100">
        <f t="shared" si="130"/>
        <v>0</v>
      </c>
      <c r="V379" s="107">
        <f t="shared" si="131"/>
        <v>0</v>
      </c>
      <c r="W379" s="91"/>
      <c r="X379" s="132">
        <v>1</v>
      </c>
      <c r="Y379" s="144">
        <f t="shared" si="135"/>
        <v>31185033.344999999</v>
      </c>
      <c r="Z379" s="106">
        <f t="shared" si="136"/>
        <v>31185033</v>
      </c>
      <c r="AA379" s="106"/>
      <c r="AB379" s="106"/>
      <c r="AC379" s="106"/>
      <c r="AD379" s="108">
        <f t="shared" si="137"/>
        <v>31185033</v>
      </c>
    </row>
    <row r="380" spans="1:30" ht="30" x14ac:dyDescent="0.2">
      <c r="A380" s="91"/>
      <c r="B380" s="103" t="s">
        <v>761</v>
      </c>
      <c r="C380" s="150" t="s">
        <v>977</v>
      </c>
      <c r="D380" s="103" t="s">
        <v>5</v>
      </c>
      <c r="E380" s="104"/>
      <c r="F380" s="106">
        <v>1767577.5</v>
      </c>
      <c r="G380" s="106">
        <f t="shared" si="138"/>
        <v>0</v>
      </c>
      <c r="H380" s="95"/>
      <c r="I380" s="95"/>
      <c r="J380" s="96"/>
      <c r="K380" s="96"/>
      <c r="L380" s="91"/>
      <c r="M380" s="91"/>
      <c r="N380" s="91"/>
      <c r="O380" s="91"/>
      <c r="P380" s="91"/>
      <c r="Q380" s="91"/>
      <c r="R380" s="97">
        <f t="shared" si="139"/>
        <v>0</v>
      </c>
      <c r="S380" s="98">
        <v>2386229.625</v>
      </c>
      <c r="T380" s="97"/>
      <c r="U380" s="100">
        <f t="shared" si="130"/>
        <v>0</v>
      </c>
      <c r="V380" s="107">
        <f t="shared" si="131"/>
        <v>0</v>
      </c>
      <c r="W380" s="91"/>
      <c r="X380" s="132">
        <v>1</v>
      </c>
      <c r="Y380" s="144">
        <f t="shared" si="135"/>
        <v>1829442.7124999999</v>
      </c>
      <c r="Z380" s="106">
        <f t="shared" si="136"/>
        <v>1829443</v>
      </c>
      <c r="AA380" s="106"/>
      <c r="AB380" s="106"/>
      <c r="AC380" s="106"/>
      <c r="AD380" s="108">
        <f t="shared" si="137"/>
        <v>1829443</v>
      </c>
    </row>
    <row r="381" spans="1:30" ht="60" x14ac:dyDescent="0.2">
      <c r="A381" s="91"/>
      <c r="B381" s="103" t="s">
        <v>762</v>
      </c>
      <c r="C381" s="150" t="s">
        <v>978</v>
      </c>
      <c r="D381" s="103" t="s">
        <v>5</v>
      </c>
      <c r="E381" s="104"/>
      <c r="F381" s="106">
        <v>4878260</v>
      </c>
      <c r="G381" s="106">
        <f t="shared" si="138"/>
        <v>0</v>
      </c>
      <c r="H381" s="95"/>
      <c r="I381" s="95"/>
      <c r="J381" s="96"/>
      <c r="K381" s="96"/>
      <c r="L381" s="91"/>
      <c r="M381" s="91"/>
      <c r="N381" s="91"/>
      <c r="O381" s="91"/>
      <c r="P381" s="91"/>
      <c r="Q381" s="91"/>
      <c r="R381" s="97">
        <f t="shared" si="139"/>
        <v>0</v>
      </c>
      <c r="S381" s="98">
        <v>13171302</v>
      </c>
      <c r="T381" s="97"/>
      <c r="U381" s="100">
        <f t="shared" si="130"/>
        <v>0</v>
      </c>
      <c r="V381" s="107">
        <f t="shared" si="131"/>
        <v>0</v>
      </c>
      <c r="W381" s="91"/>
      <c r="X381" s="132">
        <v>2</v>
      </c>
      <c r="Y381" s="144">
        <f>(F381*3.5%)+F381</f>
        <v>5048999.0999999996</v>
      </c>
      <c r="Z381" s="106">
        <f t="shared" si="136"/>
        <v>10097998</v>
      </c>
      <c r="AA381" s="106"/>
      <c r="AB381" s="106"/>
      <c r="AC381" s="106"/>
      <c r="AD381" s="108">
        <f t="shared" si="137"/>
        <v>10097998</v>
      </c>
    </row>
    <row r="382" spans="1:30" x14ac:dyDescent="0.2">
      <c r="A382" s="91"/>
      <c r="B382" s="103"/>
      <c r="C382" s="102"/>
      <c r="D382" s="103"/>
      <c r="E382" s="102"/>
      <c r="F382" s="106"/>
      <c r="G382" s="106"/>
      <c r="H382" s="95"/>
      <c r="I382" s="95"/>
      <c r="J382" s="96"/>
      <c r="K382" s="96"/>
      <c r="L382" s="91"/>
      <c r="M382" s="91"/>
      <c r="N382" s="91"/>
      <c r="O382" s="91"/>
      <c r="P382" s="91"/>
      <c r="Q382" s="91"/>
      <c r="R382" s="97">
        <f t="shared" si="139"/>
        <v>0</v>
      </c>
      <c r="S382" s="98">
        <v>0</v>
      </c>
      <c r="T382" s="97"/>
      <c r="U382" s="100">
        <f t="shared" si="130"/>
        <v>0</v>
      </c>
      <c r="V382" s="107">
        <f t="shared" si="131"/>
        <v>0</v>
      </c>
      <c r="W382" s="91"/>
      <c r="X382" s="106"/>
      <c r="Y382" s="106"/>
      <c r="Z382" s="106"/>
      <c r="AA382" s="106"/>
      <c r="AB382" s="106"/>
      <c r="AC382" s="106"/>
      <c r="AD382" s="106"/>
    </row>
    <row r="383" spans="1:30" ht="30" x14ac:dyDescent="0.2">
      <c r="A383" s="91"/>
      <c r="B383" s="92" t="s">
        <v>763</v>
      </c>
      <c r="C383" s="93" t="s">
        <v>979</v>
      </c>
      <c r="D383" s="92"/>
      <c r="E383" s="93"/>
      <c r="F383" s="113"/>
      <c r="G383" s="113">
        <f>SUM(G384:G389)</f>
        <v>0</v>
      </c>
      <c r="H383" s="95"/>
      <c r="I383" s="95"/>
      <c r="J383" s="96"/>
      <c r="K383" s="96"/>
      <c r="L383" s="91"/>
      <c r="M383" s="91"/>
      <c r="N383" s="91"/>
      <c r="O383" s="91"/>
      <c r="P383" s="91"/>
      <c r="Q383" s="91"/>
      <c r="R383" s="97">
        <f t="shared" si="139"/>
        <v>0</v>
      </c>
      <c r="S383" s="98">
        <v>125490351.19499998</v>
      </c>
      <c r="T383" s="97"/>
      <c r="U383" s="100">
        <f t="shared" si="130"/>
        <v>0</v>
      </c>
      <c r="V383" s="107"/>
      <c r="W383" s="91"/>
      <c r="X383" s="113"/>
      <c r="Y383" s="113"/>
      <c r="Z383" s="113">
        <f>SUM(Z384:Z389)</f>
        <v>96209269</v>
      </c>
      <c r="AA383" s="113"/>
      <c r="AB383" s="113"/>
      <c r="AC383" s="113"/>
      <c r="AD383" s="94">
        <f>G383+Z383+AC383</f>
        <v>96209269</v>
      </c>
    </row>
    <row r="384" spans="1:30" ht="75" x14ac:dyDescent="0.2">
      <c r="A384" s="91"/>
      <c r="B384" s="103" t="s">
        <v>764</v>
      </c>
      <c r="C384" s="150" t="s">
        <v>980</v>
      </c>
      <c r="D384" s="103" t="s">
        <v>5</v>
      </c>
      <c r="E384" s="104"/>
      <c r="F384" s="106">
        <v>515983.64084507042</v>
      </c>
      <c r="G384" s="106">
        <f>E384*F384</f>
        <v>0</v>
      </c>
      <c r="H384" s="95"/>
      <c r="I384" s="95"/>
      <c r="J384" s="96"/>
      <c r="K384" s="96"/>
      <c r="L384" s="91"/>
      <c r="M384" s="91"/>
      <c r="N384" s="91"/>
      <c r="O384" s="91"/>
      <c r="P384" s="91"/>
      <c r="Q384" s="91"/>
      <c r="R384" s="97">
        <f t="shared" si="139"/>
        <v>0</v>
      </c>
      <c r="S384" s="98">
        <v>49457031.974999994</v>
      </c>
      <c r="T384" s="97"/>
      <c r="U384" s="100">
        <f t="shared" si="130"/>
        <v>0</v>
      </c>
      <c r="V384" s="107">
        <f t="shared" si="131"/>
        <v>0</v>
      </c>
      <c r="W384" s="91"/>
      <c r="X384" s="132">
        <v>71</v>
      </c>
      <c r="Y384" s="144">
        <f t="shared" ref="Y384:Y389" si="140">(F384*3.5%)+F384</f>
        <v>534043.06827464793</v>
      </c>
      <c r="Z384" s="106">
        <f t="shared" ref="Z384:Z389" si="141">ROUND(X384*Y384,0)</f>
        <v>37917058</v>
      </c>
      <c r="AA384" s="106"/>
      <c r="AB384" s="106"/>
      <c r="AC384" s="106"/>
      <c r="AD384" s="108">
        <f t="shared" ref="AD384:AD389" si="142">G384+Z384+AC384</f>
        <v>37917058</v>
      </c>
    </row>
    <row r="385" spans="1:30" ht="75" x14ac:dyDescent="0.2">
      <c r="A385" s="91"/>
      <c r="B385" s="103" t="s">
        <v>765</v>
      </c>
      <c r="C385" s="150" t="s">
        <v>981</v>
      </c>
      <c r="D385" s="103" t="s">
        <v>5</v>
      </c>
      <c r="E385" s="104"/>
      <c r="F385" s="106">
        <v>415868.83529411763</v>
      </c>
      <c r="G385" s="106">
        <f t="shared" ref="G385:G389" si="143">E385*F385</f>
        <v>0</v>
      </c>
      <c r="H385" s="95"/>
      <c r="I385" s="95"/>
      <c r="J385" s="96"/>
      <c r="K385" s="96"/>
      <c r="L385" s="91"/>
      <c r="M385" s="91"/>
      <c r="N385" s="91"/>
      <c r="O385" s="91"/>
      <c r="P385" s="91"/>
      <c r="Q385" s="91"/>
      <c r="R385" s="97">
        <f t="shared" si="139"/>
        <v>0</v>
      </c>
      <c r="S385" s="98">
        <v>9544189.7699999977</v>
      </c>
      <c r="T385" s="97"/>
      <c r="U385" s="100">
        <f t="shared" si="130"/>
        <v>0</v>
      </c>
      <c r="V385" s="107">
        <f t="shared" si="131"/>
        <v>0</v>
      </c>
      <c r="W385" s="91"/>
      <c r="X385" s="132">
        <v>17</v>
      </c>
      <c r="Y385" s="144">
        <f t="shared" si="140"/>
        <v>430424.24452941172</v>
      </c>
      <c r="Z385" s="106">
        <f t="shared" si="141"/>
        <v>7317212</v>
      </c>
      <c r="AA385" s="106"/>
      <c r="AB385" s="106"/>
      <c r="AC385" s="106"/>
      <c r="AD385" s="108">
        <f t="shared" si="142"/>
        <v>7317212</v>
      </c>
    </row>
    <row r="386" spans="1:30" ht="75" x14ac:dyDescent="0.2">
      <c r="A386" s="91"/>
      <c r="B386" s="103" t="s">
        <v>766</v>
      </c>
      <c r="C386" s="150" t="s">
        <v>982</v>
      </c>
      <c r="D386" s="103" t="s">
        <v>5</v>
      </c>
      <c r="E386" s="104"/>
      <c r="F386" s="106">
        <v>931581.8</v>
      </c>
      <c r="G386" s="106">
        <f t="shared" si="143"/>
        <v>0</v>
      </c>
      <c r="H386" s="95"/>
      <c r="I386" s="95"/>
      <c r="J386" s="96"/>
      <c r="K386" s="96"/>
      <c r="L386" s="91"/>
      <c r="M386" s="91"/>
      <c r="N386" s="91"/>
      <c r="O386" s="91"/>
      <c r="P386" s="91"/>
      <c r="Q386" s="91"/>
      <c r="R386" s="97">
        <f t="shared" si="139"/>
        <v>0</v>
      </c>
      <c r="S386" s="98">
        <v>1257635.4300000002</v>
      </c>
      <c r="T386" s="97"/>
      <c r="U386" s="100">
        <f t="shared" si="130"/>
        <v>0</v>
      </c>
      <c r="V386" s="107">
        <f t="shared" si="131"/>
        <v>0</v>
      </c>
      <c r="W386" s="91"/>
      <c r="X386" s="132">
        <v>1</v>
      </c>
      <c r="Y386" s="144">
        <f t="shared" si="140"/>
        <v>964187.16300000006</v>
      </c>
      <c r="Z386" s="106">
        <f t="shared" si="141"/>
        <v>964187</v>
      </c>
      <c r="AA386" s="106"/>
      <c r="AB386" s="106"/>
      <c r="AC386" s="106"/>
      <c r="AD386" s="108">
        <f t="shared" si="142"/>
        <v>964187</v>
      </c>
    </row>
    <row r="387" spans="1:30" ht="75" x14ac:dyDescent="0.2">
      <c r="A387" s="91"/>
      <c r="B387" s="103" t="s">
        <v>767</v>
      </c>
      <c r="C387" s="150" t="s">
        <v>983</v>
      </c>
      <c r="D387" s="103" t="s">
        <v>5</v>
      </c>
      <c r="E387" s="104"/>
      <c r="F387" s="106">
        <v>569308.53571428568</v>
      </c>
      <c r="G387" s="106">
        <f t="shared" si="143"/>
        <v>0</v>
      </c>
      <c r="H387" s="95"/>
      <c r="I387" s="95"/>
      <c r="J387" s="96"/>
      <c r="K387" s="96"/>
      <c r="L387" s="91"/>
      <c r="M387" s="91"/>
      <c r="N387" s="91"/>
      <c r="O387" s="91"/>
      <c r="P387" s="91"/>
      <c r="Q387" s="91"/>
      <c r="R387" s="97">
        <f t="shared" si="139"/>
        <v>0</v>
      </c>
      <c r="S387" s="98">
        <v>10759931.324999999</v>
      </c>
      <c r="T387" s="97"/>
      <c r="U387" s="100">
        <f t="shared" si="130"/>
        <v>0</v>
      </c>
      <c r="V387" s="107">
        <f t="shared" si="131"/>
        <v>0</v>
      </c>
      <c r="W387" s="91"/>
      <c r="X387" s="132">
        <v>14</v>
      </c>
      <c r="Y387" s="144">
        <f t="shared" si="140"/>
        <v>589234.33446428564</v>
      </c>
      <c r="Z387" s="106">
        <f t="shared" si="141"/>
        <v>8249281</v>
      </c>
      <c r="AA387" s="106"/>
      <c r="AB387" s="106"/>
      <c r="AC387" s="106"/>
      <c r="AD387" s="108">
        <f t="shared" si="142"/>
        <v>8249281</v>
      </c>
    </row>
    <row r="388" spans="1:30" ht="75" x14ac:dyDescent="0.2">
      <c r="A388" s="91"/>
      <c r="B388" s="103" t="s">
        <v>1129</v>
      </c>
      <c r="C388" s="150" t="s">
        <v>984</v>
      </c>
      <c r="D388" s="103" t="s">
        <v>5</v>
      </c>
      <c r="E388" s="104"/>
      <c r="F388" s="106">
        <v>642218.66111111105</v>
      </c>
      <c r="G388" s="106">
        <f t="shared" si="143"/>
        <v>0</v>
      </c>
      <c r="H388" s="95"/>
      <c r="I388" s="95"/>
      <c r="J388" s="96"/>
      <c r="K388" s="96"/>
      <c r="L388" s="91"/>
      <c r="M388" s="91"/>
      <c r="N388" s="91"/>
      <c r="O388" s="91"/>
      <c r="P388" s="91"/>
      <c r="Q388" s="91"/>
      <c r="R388" s="97">
        <f t="shared" si="139"/>
        <v>0</v>
      </c>
      <c r="S388" s="98">
        <v>31211826.929999996</v>
      </c>
      <c r="T388" s="97"/>
      <c r="U388" s="100">
        <f t="shared" si="130"/>
        <v>0</v>
      </c>
      <c r="V388" s="107">
        <f t="shared" si="131"/>
        <v>0</v>
      </c>
      <c r="W388" s="91"/>
      <c r="X388" s="132">
        <v>36</v>
      </c>
      <c r="Y388" s="144">
        <f t="shared" si="140"/>
        <v>664696.31424999994</v>
      </c>
      <c r="Z388" s="106">
        <f t="shared" si="141"/>
        <v>23929067</v>
      </c>
      <c r="AA388" s="106"/>
      <c r="AB388" s="106"/>
      <c r="AC388" s="106"/>
      <c r="AD388" s="108">
        <f t="shared" si="142"/>
        <v>23929067</v>
      </c>
    </row>
    <row r="389" spans="1:30" ht="75" x14ac:dyDescent="0.2">
      <c r="A389" s="91"/>
      <c r="B389" s="103" t="s">
        <v>1130</v>
      </c>
      <c r="C389" s="150" t="s">
        <v>985</v>
      </c>
      <c r="D389" s="103" t="s">
        <v>5</v>
      </c>
      <c r="E389" s="104"/>
      <c r="F389" s="106">
        <v>957190.77222222218</v>
      </c>
      <c r="G389" s="106">
        <f t="shared" si="143"/>
        <v>0</v>
      </c>
      <c r="H389" s="95"/>
      <c r="I389" s="95"/>
      <c r="J389" s="96"/>
      <c r="K389" s="96"/>
      <c r="L389" s="91"/>
      <c r="M389" s="91"/>
      <c r="N389" s="91"/>
      <c r="O389" s="91"/>
      <c r="P389" s="91"/>
      <c r="Q389" s="91"/>
      <c r="R389" s="97">
        <f t="shared" si="139"/>
        <v>0</v>
      </c>
      <c r="S389" s="98">
        <v>23259735.764999997</v>
      </c>
      <c r="T389" s="97"/>
      <c r="U389" s="100">
        <f t="shared" si="130"/>
        <v>0</v>
      </c>
      <c r="V389" s="107">
        <f t="shared" si="131"/>
        <v>0</v>
      </c>
      <c r="W389" s="91"/>
      <c r="X389" s="132">
        <v>18</v>
      </c>
      <c r="Y389" s="144">
        <f t="shared" si="140"/>
        <v>990692.44924999995</v>
      </c>
      <c r="Z389" s="106">
        <f t="shared" si="141"/>
        <v>17832464</v>
      </c>
      <c r="AA389" s="106"/>
      <c r="AB389" s="106"/>
      <c r="AC389" s="106"/>
      <c r="AD389" s="108">
        <f t="shared" si="142"/>
        <v>17832464</v>
      </c>
    </row>
    <row r="390" spans="1:30" x14ac:dyDescent="0.2">
      <c r="A390" s="91"/>
      <c r="B390" s="103"/>
      <c r="C390" s="102"/>
      <c r="D390" s="103"/>
      <c r="E390" s="102"/>
      <c r="F390" s="106"/>
      <c r="G390" s="108"/>
      <c r="H390" s="95"/>
      <c r="I390" s="95"/>
      <c r="J390" s="96"/>
      <c r="K390" s="96"/>
      <c r="L390" s="91"/>
      <c r="M390" s="91"/>
      <c r="N390" s="91"/>
      <c r="O390" s="91"/>
      <c r="P390" s="91"/>
      <c r="Q390" s="91"/>
      <c r="R390" s="97">
        <f t="shared" si="139"/>
        <v>0</v>
      </c>
      <c r="S390" s="98">
        <v>0</v>
      </c>
      <c r="T390" s="97"/>
      <c r="U390" s="100">
        <f t="shared" si="130"/>
        <v>0</v>
      </c>
      <c r="V390" s="107">
        <f t="shared" si="131"/>
        <v>0</v>
      </c>
      <c r="W390" s="91"/>
      <c r="X390" s="108"/>
      <c r="Y390" s="108"/>
      <c r="Z390" s="108"/>
      <c r="AA390" s="108"/>
      <c r="AB390" s="108"/>
      <c r="AC390" s="108"/>
      <c r="AD390" s="108"/>
    </row>
    <row r="391" spans="1:30" ht="15" x14ac:dyDescent="0.2">
      <c r="A391" s="91"/>
      <c r="B391" s="152" t="s">
        <v>768</v>
      </c>
      <c r="C391" s="93" t="s">
        <v>488</v>
      </c>
      <c r="D391" s="125"/>
      <c r="E391" s="128"/>
      <c r="F391" s="128"/>
      <c r="G391" s="113">
        <f>SUM(G392:G400)</f>
        <v>0</v>
      </c>
      <c r="H391" s="95"/>
      <c r="I391" s="95"/>
      <c r="J391" s="96"/>
      <c r="K391" s="96"/>
      <c r="L391" s="91"/>
      <c r="M391" s="91"/>
      <c r="N391" s="91"/>
      <c r="O391" s="91"/>
      <c r="P391" s="91"/>
      <c r="Q391" s="91"/>
      <c r="R391" s="97">
        <f t="shared" si="139"/>
        <v>0</v>
      </c>
      <c r="S391" s="98">
        <v>135861700.6634312</v>
      </c>
      <c r="T391" s="97"/>
      <c r="U391" s="100">
        <f t="shared" si="130"/>
        <v>0</v>
      </c>
      <c r="V391" s="107">
        <f t="shared" si="131"/>
        <v>0</v>
      </c>
      <c r="W391" s="91"/>
      <c r="X391" s="113"/>
      <c r="Y391" s="113"/>
      <c r="Z391" s="113">
        <f>SUM(Z392:Z400)</f>
        <v>104160637</v>
      </c>
      <c r="AA391" s="113"/>
      <c r="AB391" s="113"/>
      <c r="AC391" s="113"/>
      <c r="AD391" s="94">
        <f>G391+Z391+AC391</f>
        <v>104160637</v>
      </c>
    </row>
    <row r="392" spans="1:30" ht="15" x14ac:dyDescent="0.2">
      <c r="A392" s="91"/>
      <c r="B392" s="103" t="s">
        <v>769</v>
      </c>
      <c r="C392" s="102" t="s">
        <v>986</v>
      </c>
      <c r="D392" s="103" t="s">
        <v>5</v>
      </c>
      <c r="E392" s="104"/>
      <c r="F392" s="106">
        <v>194893.55415162456</v>
      </c>
      <c r="G392" s="116">
        <f>E392*F392</f>
        <v>0</v>
      </c>
      <c r="H392" s="95"/>
      <c r="I392" s="95"/>
      <c r="J392" s="96"/>
      <c r="K392" s="96"/>
      <c r="L392" s="91"/>
      <c r="M392" s="91"/>
      <c r="N392" s="91"/>
      <c r="O392" s="91"/>
      <c r="P392" s="91"/>
      <c r="Q392" s="91"/>
      <c r="R392" s="97">
        <f t="shared" si="139"/>
        <v>0</v>
      </c>
      <c r="S392" s="98">
        <v>72880444.574999988</v>
      </c>
      <c r="T392" s="97"/>
      <c r="U392" s="100">
        <f t="shared" si="130"/>
        <v>0</v>
      </c>
      <c r="V392" s="107">
        <f t="shared" si="131"/>
        <v>0</v>
      </c>
      <c r="W392" s="91"/>
      <c r="X392" s="153">
        <v>277</v>
      </c>
      <c r="Y392" s="144">
        <f t="shared" ref="Y392:Y400" si="144">(F392*3.5%)+F392</f>
        <v>201714.82854693141</v>
      </c>
      <c r="Z392" s="106">
        <f t="shared" ref="Z392:Z400" si="145">ROUND(X392*Y392,0)</f>
        <v>55875008</v>
      </c>
      <c r="AA392" s="116"/>
      <c r="AB392" s="116"/>
      <c r="AC392" s="116"/>
      <c r="AD392" s="108">
        <f t="shared" ref="AD392:AD400" si="146">G392+Z392+AC392</f>
        <v>55875008</v>
      </c>
    </row>
    <row r="393" spans="1:30" ht="15" x14ac:dyDescent="0.2">
      <c r="A393" s="91"/>
      <c r="B393" s="103" t="s">
        <v>770</v>
      </c>
      <c r="C393" s="102" t="s">
        <v>987</v>
      </c>
      <c r="D393" s="103" t="s">
        <v>5</v>
      </c>
      <c r="E393" s="104"/>
      <c r="F393" s="106">
        <v>13269.231142857141</v>
      </c>
      <c r="G393" s="116">
        <f t="shared" ref="G393:G400" si="147">E393*F393</f>
        <v>0</v>
      </c>
      <c r="H393" s="95"/>
      <c r="I393" s="95"/>
      <c r="J393" s="96"/>
      <c r="K393" s="96"/>
      <c r="L393" s="91"/>
      <c r="M393" s="91"/>
      <c r="N393" s="91"/>
      <c r="O393" s="91"/>
      <c r="P393" s="91"/>
      <c r="Q393" s="91"/>
      <c r="R393" s="97">
        <f t="shared" si="139"/>
        <v>0</v>
      </c>
      <c r="S393" s="98">
        <v>53740.386128571416</v>
      </c>
      <c r="T393" s="97"/>
      <c r="U393" s="100">
        <f t="shared" ref="U393:U456" si="148">+G393*$U$7</f>
        <v>0</v>
      </c>
      <c r="V393" s="107">
        <f t="shared" ref="V393:V456" si="149">+G393+U393</f>
        <v>0</v>
      </c>
      <c r="W393" s="91"/>
      <c r="X393" s="153">
        <v>3</v>
      </c>
      <c r="Y393" s="144">
        <f t="shared" si="144"/>
        <v>13733.654232857141</v>
      </c>
      <c r="Z393" s="106">
        <f t="shared" si="145"/>
        <v>41201</v>
      </c>
      <c r="AA393" s="116"/>
      <c r="AB393" s="116"/>
      <c r="AC393" s="116"/>
      <c r="AD393" s="108">
        <f t="shared" si="146"/>
        <v>41201</v>
      </c>
    </row>
    <row r="394" spans="1:30" ht="15" x14ac:dyDescent="0.2">
      <c r="A394" s="91"/>
      <c r="B394" s="103" t="s">
        <v>771</v>
      </c>
      <c r="C394" s="102" t="s">
        <v>988</v>
      </c>
      <c r="D394" s="103" t="s">
        <v>5</v>
      </c>
      <c r="E394" s="104"/>
      <c r="F394" s="106">
        <v>181808.55263157896</v>
      </c>
      <c r="G394" s="116">
        <f t="shared" si="147"/>
        <v>0</v>
      </c>
      <c r="H394" s="95"/>
      <c r="I394" s="95"/>
      <c r="J394" s="96"/>
      <c r="K394" s="96"/>
      <c r="L394" s="91"/>
      <c r="M394" s="91"/>
      <c r="N394" s="91"/>
      <c r="O394" s="91"/>
      <c r="P394" s="91"/>
      <c r="Q394" s="91"/>
      <c r="R394" s="97">
        <f t="shared" si="139"/>
        <v>0</v>
      </c>
      <c r="S394" s="98">
        <v>4908830.9210526329</v>
      </c>
      <c r="T394" s="97"/>
      <c r="U394" s="100">
        <f t="shared" si="148"/>
        <v>0</v>
      </c>
      <c r="V394" s="107">
        <f t="shared" si="149"/>
        <v>0</v>
      </c>
      <c r="W394" s="91"/>
      <c r="X394" s="153">
        <v>20</v>
      </c>
      <c r="Y394" s="144">
        <f t="shared" si="144"/>
        <v>188171.85197368421</v>
      </c>
      <c r="Z394" s="106">
        <f t="shared" si="145"/>
        <v>3763437</v>
      </c>
      <c r="AA394" s="116"/>
      <c r="AB394" s="116"/>
      <c r="AC394" s="116"/>
      <c r="AD394" s="108">
        <f t="shared" si="146"/>
        <v>3763437</v>
      </c>
    </row>
    <row r="395" spans="1:30" ht="30" x14ac:dyDescent="0.2">
      <c r="A395" s="91"/>
      <c r="B395" s="103" t="s">
        <v>772</v>
      </c>
      <c r="C395" s="102" t="s">
        <v>989</v>
      </c>
      <c r="D395" s="103" t="s">
        <v>5</v>
      </c>
      <c r="E395" s="104"/>
      <c r="F395" s="106">
        <v>333669.44130434783</v>
      </c>
      <c r="G395" s="116">
        <f t="shared" si="147"/>
        <v>0</v>
      </c>
      <c r="H395" s="95"/>
      <c r="I395" s="95"/>
      <c r="J395" s="96"/>
      <c r="K395" s="96"/>
      <c r="L395" s="91"/>
      <c r="M395" s="91"/>
      <c r="N395" s="91"/>
      <c r="O395" s="91"/>
      <c r="P395" s="91"/>
      <c r="Q395" s="91"/>
      <c r="R395" s="97">
        <f t="shared" si="139"/>
        <v>0</v>
      </c>
      <c r="S395" s="98">
        <v>20720872.305</v>
      </c>
      <c r="T395" s="97"/>
      <c r="U395" s="100">
        <f t="shared" si="148"/>
        <v>0</v>
      </c>
      <c r="V395" s="107">
        <f t="shared" si="149"/>
        <v>0</v>
      </c>
      <c r="W395" s="91"/>
      <c r="X395" s="153">
        <v>46</v>
      </c>
      <c r="Y395" s="144">
        <f t="shared" si="144"/>
        <v>345347.87174999999</v>
      </c>
      <c r="Z395" s="106">
        <f t="shared" si="145"/>
        <v>15886002</v>
      </c>
      <c r="AA395" s="116"/>
      <c r="AB395" s="116"/>
      <c r="AC395" s="116"/>
      <c r="AD395" s="108">
        <f t="shared" si="146"/>
        <v>15886002</v>
      </c>
    </row>
    <row r="396" spans="1:30" ht="30" x14ac:dyDescent="0.2">
      <c r="A396" s="91"/>
      <c r="B396" s="103" t="s">
        <v>773</v>
      </c>
      <c r="C396" s="102" t="s">
        <v>990</v>
      </c>
      <c r="D396" s="103" t="s">
        <v>5</v>
      </c>
      <c r="E396" s="104"/>
      <c r="F396" s="106">
        <v>321742.22916666669</v>
      </c>
      <c r="G396" s="116">
        <f t="shared" si="147"/>
        <v>0</v>
      </c>
      <c r="H396" s="95"/>
      <c r="I396" s="95"/>
      <c r="J396" s="96"/>
      <c r="K396" s="96"/>
      <c r="L396" s="91"/>
      <c r="M396" s="91"/>
      <c r="N396" s="91"/>
      <c r="O396" s="91"/>
      <c r="P396" s="91"/>
      <c r="Q396" s="91"/>
      <c r="R396" s="97">
        <f t="shared" si="139"/>
        <v>0</v>
      </c>
      <c r="S396" s="98">
        <v>10424448.225000001</v>
      </c>
      <c r="T396" s="97"/>
      <c r="U396" s="100">
        <f t="shared" si="148"/>
        <v>0</v>
      </c>
      <c r="V396" s="107">
        <f t="shared" si="149"/>
        <v>0</v>
      </c>
      <c r="W396" s="91"/>
      <c r="X396" s="153">
        <v>24</v>
      </c>
      <c r="Y396" s="144">
        <f t="shared" si="144"/>
        <v>333003.20718750003</v>
      </c>
      <c r="Z396" s="106">
        <f t="shared" si="145"/>
        <v>7992077</v>
      </c>
      <c r="AA396" s="116"/>
      <c r="AB396" s="116"/>
      <c r="AC396" s="116"/>
      <c r="AD396" s="108">
        <f t="shared" si="146"/>
        <v>7992077</v>
      </c>
    </row>
    <row r="397" spans="1:30" ht="75" x14ac:dyDescent="0.2">
      <c r="A397" s="91"/>
      <c r="B397" s="103" t="s">
        <v>774</v>
      </c>
      <c r="C397" s="102" t="s">
        <v>953</v>
      </c>
      <c r="D397" s="103" t="s">
        <v>5</v>
      </c>
      <c r="E397" s="104"/>
      <c r="F397" s="106">
        <v>329470.29166666669</v>
      </c>
      <c r="G397" s="116">
        <f t="shared" si="147"/>
        <v>0</v>
      </c>
      <c r="H397" s="95"/>
      <c r="I397" s="95"/>
      <c r="J397" s="96"/>
      <c r="K397" s="96"/>
      <c r="L397" s="91"/>
      <c r="M397" s="91"/>
      <c r="N397" s="91"/>
      <c r="O397" s="91"/>
      <c r="P397" s="91"/>
      <c r="Q397" s="91"/>
      <c r="R397" s="97">
        <f t="shared" si="139"/>
        <v>0</v>
      </c>
      <c r="S397" s="98">
        <v>3113494.2562500001</v>
      </c>
      <c r="T397" s="97"/>
      <c r="U397" s="100">
        <f t="shared" si="148"/>
        <v>0</v>
      </c>
      <c r="V397" s="107">
        <f t="shared" si="149"/>
        <v>0</v>
      </c>
      <c r="W397" s="91"/>
      <c r="X397" s="153">
        <v>7</v>
      </c>
      <c r="Y397" s="144">
        <f t="shared" si="144"/>
        <v>341001.75187500002</v>
      </c>
      <c r="Z397" s="106">
        <f t="shared" si="145"/>
        <v>2387012</v>
      </c>
      <c r="AA397" s="116"/>
      <c r="AB397" s="116"/>
      <c r="AC397" s="116"/>
      <c r="AD397" s="108">
        <f t="shared" si="146"/>
        <v>2387012</v>
      </c>
    </row>
    <row r="398" spans="1:30" ht="30" x14ac:dyDescent="0.2">
      <c r="A398" s="91"/>
      <c r="B398" s="103" t="s">
        <v>775</v>
      </c>
      <c r="C398" s="102" t="s">
        <v>991</v>
      </c>
      <c r="D398" s="103" t="s">
        <v>5</v>
      </c>
      <c r="E398" s="104"/>
      <c r="F398" s="106">
        <v>553283.81111111108</v>
      </c>
      <c r="G398" s="116">
        <f t="shared" si="147"/>
        <v>0</v>
      </c>
      <c r="H398" s="95"/>
      <c r="I398" s="95"/>
      <c r="J398" s="96"/>
      <c r="K398" s="96"/>
      <c r="L398" s="91"/>
      <c r="M398" s="91"/>
      <c r="N398" s="91"/>
      <c r="O398" s="91"/>
      <c r="P398" s="91"/>
      <c r="Q398" s="91"/>
      <c r="R398" s="97">
        <f t="shared" si="139"/>
        <v>0</v>
      </c>
      <c r="S398" s="98">
        <v>13444796.609999999</v>
      </c>
      <c r="T398" s="97"/>
      <c r="U398" s="100">
        <f t="shared" si="148"/>
        <v>0</v>
      </c>
      <c r="V398" s="107">
        <f t="shared" si="149"/>
        <v>0</v>
      </c>
      <c r="W398" s="91"/>
      <c r="X398" s="153">
        <v>18</v>
      </c>
      <c r="Y398" s="144">
        <f t="shared" si="144"/>
        <v>572648.74449999991</v>
      </c>
      <c r="Z398" s="106">
        <f t="shared" si="145"/>
        <v>10307677</v>
      </c>
      <c r="AA398" s="116"/>
      <c r="AB398" s="116"/>
      <c r="AC398" s="116"/>
      <c r="AD398" s="108">
        <f t="shared" si="146"/>
        <v>10307677</v>
      </c>
    </row>
    <row r="399" spans="1:30" ht="15" x14ac:dyDescent="0.2">
      <c r="A399" s="91"/>
      <c r="B399" s="103" t="s">
        <v>776</v>
      </c>
      <c r="C399" s="102" t="s">
        <v>992</v>
      </c>
      <c r="D399" s="103" t="s">
        <v>5</v>
      </c>
      <c r="E399" s="104"/>
      <c r="F399" s="106">
        <v>322692.71666666667</v>
      </c>
      <c r="G399" s="116">
        <f t="shared" si="147"/>
        <v>0</v>
      </c>
      <c r="H399" s="95"/>
      <c r="I399" s="95"/>
      <c r="J399" s="96"/>
      <c r="K399" s="96"/>
      <c r="L399" s="91"/>
      <c r="M399" s="91"/>
      <c r="N399" s="91"/>
      <c r="O399" s="91"/>
      <c r="P399" s="91"/>
      <c r="Q399" s="91"/>
      <c r="R399" s="97">
        <f t="shared" si="139"/>
        <v>0</v>
      </c>
      <c r="S399" s="98">
        <v>2613811.0049999999</v>
      </c>
      <c r="T399" s="97"/>
      <c r="U399" s="100">
        <f t="shared" si="148"/>
        <v>0</v>
      </c>
      <c r="V399" s="107">
        <f t="shared" si="149"/>
        <v>0</v>
      </c>
      <c r="W399" s="91"/>
      <c r="X399" s="153">
        <v>6</v>
      </c>
      <c r="Y399" s="144">
        <f t="shared" si="144"/>
        <v>333986.96175000002</v>
      </c>
      <c r="Z399" s="106">
        <f t="shared" si="145"/>
        <v>2003922</v>
      </c>
      <c r="AA399" s="116"/>
      <c r="AB399" s="116"/>
      <c r="AC399" s="116"/>
      <c r="AD399" s="108">
        <f t="shared" si="146"/>
        <v>2003922</v>
      </c>
    </row>
    <row r="400" spans="1:30" ht="15" x14ac:dyDescent="0.2">
      <c r="A400" s="91"/>
      <c r="B400" s="103" t="s">
        <v>777</v>
      </c>
      <c r="C400" s="102" t="s">
        <v>993</v>
      </c>
      <c r="D400" s="103" t="s">
        <v>5</v>
      </c>
      <c r="E400" s="104"/>
      <c r="F400" s="106">
        <v>5704638.7999999998</v>
      </c>
      <c r="G400" s="116">
        <f t="shared" si="147"/>
        <v>0</v>
      </c>
      <c r="H400" s="95"/>
      <c r="I400" s="95"/>
      <c r="J400" s="96"/>
      <c r="K400" s="96"/>
      <c r="L400" s="91"/>
      <c r="M400" s="91"/>
      <c r="N400" s="91"/>
      <c r="O400" s="91"/>
      <c r="P400" s="91"/>
      <c r="Q400" s="91"/>
      <c r="R400" s="97">
        <f t="shared" si="139"/>
        <v>0</v>
      </c>
      <c r="S400" s="98">
        <v>7701262.3799999999</v>
      </c>
      <c r="T400" s="97"/>
      <c r="U400" s="100">
        <f t="shared" si="148"/>
        <v>0</v>
      </c>
      <c r="V400" s="107">
        <f t="shared" si="149"/>
        <v>0</v>
      </c>
      <c r="W400" s="91"/>
      <c r="X400" s="153">
        <v>1</v>
      </c>
      <c r="Y400" s="144">
        <f t="shared" si="144"/>
        <v>5904301.1579999998</v>
      </c>
      <c r="Z400" s="106">
        <f t="shared" si="145"/>
        <v>5904301</v>
      </c>
      <c r="AA400" s="116"/>
      <c r="AB400" s="116"/>
      <c r="AC400" s="116"/>
      <c r="AD400" s="108">
        <f t="shared" si="146"/>
        <v>5904301</v>
      </c>
    </row>
    <row r="401" spans="1:30" x14ac:dyDescent="0.2">
      <c r="A401" s="91"/>
      <c r="B401" s="103"/>
      <c r="C401" s="102"/>
      <c r="D401" s="103"/>
      <c r="E401" s="102"/>
      <c r="F401" s="106"/>
      <c r="G401" s="108"/>
      <c r="H401" s="95"/>
      <c r="I401" s="95"/>
      <c r="J401" s="96"/>
      <c r="K401" s="96"/>
      <c r="L401" s="91"/>
      <c r="M401" s="91"/>
      <c r="N401" s="91"/>
      <c r="O401" s="91"/>
      <c r="P401" s="91"/>
      <c r="Q401" s="91"/>
      <c r="R401" s="97">
        <f t="shared" si="139"/>
        <v>0</v>
      </c>
      <c r="S401" s="98">
        <v>0</v>
      </c>
      <c r="T401" s="97"/>
      <c r="U401" s="100">
        <f t="shared" si="148"/>
        <v>0</v>
      </c>
      <c r="V401" s="107">
        <f t="shared" si="149"/>
        <v>0</v>
      </c>
      <c r="W401" s="91"/>
      <c r="X401" s="108"/>
      <c r="Y401" s="108"/>
      <c r="Z401" s="108"/>
      <c r="AA401" s="108"/>
      <c r="AB401" s="108"/>
      <c r="AC401" s="108"/>
      <c r="AD401" s="108"/>
    </row>
    <row r="402" spans="1:30" ht="15" x14ac:dyDescent="0.2">
      <c r="A402" s="91"/>
      <c r="B402" s="92" t="s">
        <v>778</v>
      </c>
      <c r="C402" s="93" t="s">
        <v>489</v>
      </c>
      <c r="D402" s="92"/>
      <c r="E402" s="93"/>
      <c r="F402" s="113"/>
      <c r="G402" s="113">
        <f>SUM(G403:G414)</f>
        <v>0</v>
      </c>
      <c r="H402" s="95"/>
      <c r="I402" s="95"/>
      <c r="J402" s="96"/>
      <c r="K402" s="96"/>
      <c r="L402" s="91"/>
      <c r="M402" s="91"/>
      <c r="N402" s="91"/>
      <c r="O402" s="91"/>
      <c r="P402" s="91"/>
      <c r="Q402" s="91"/>
      <c r="R402" s="97">
        <f t="shared" si="139"/>
        <v>0</v>
      </c>
      <c r="S402" s="98">
        <v>73423813.301249996</v>
      </c>
      <c r="T402" s="97"/>
      <c r="U402" s="100">
        <f t="shared" si="148"/>
        <v>0</v>
      </c>
      <c r="V402" s="107">
        <f t="shared" si="149"/>
        <v>0</v>
      </c>
      <c r="W402" s="91"/>
      <c r="X402" s="113"/>
      <c r="Y402" s="113"/>
      <c r="Z402" s="113">
        <f>SUM(Z403:Z414)</f>
        <v>56291589</v>
      </c>
      <c r="AA402" s="113"/>
      <c r="AB402" s="113"/>
      <c r="AC402" s="113"/>
      <c r="AD402" s="94">
        <f>G402+Z402+AC402</f>
        <v>56291589</v>
      </c>
    </row>
    <row r="403" spans="1:30" ht="30" x14ac:dyDescent="0.2">
      <c r="A403" s="91"/>
      <c r="B403" s="103" t="s">
        <v>779</v>
      </c>
      <c r="C403" s="150" t="s">
        <v>994</v>
      </c>
      <c r="D403" s="103" t="s">
        <v>5</v>
      </c>
      <c r="E403" s="104"/>
      <c r="F403" s="106">
        <v>236445.91428571427</v>
      </c>
      <c r="G403" s="116">
        <f t="shared" ref="G403:G414" si="150">E403*F403</f>
        <v>0</v>
      </c>
      <c r="H403" s="95"/>
      <c r="I403" s="95"/>
      <c r="J403" s="96"/>
      <c r="K403" s="96"/>
      <c r="L403" s="91"/>
      <c r="M403" s="91"/>
      <c r="N403" s="91"/>
      <c r="O403" s="91"/>
      <c r="P403" s="91"/>
      <c r="Q403" s="91"/>
      <c r="R403" s="97">
        <f t="shared" si="139"/>
        <v>0</v>
      </c>
      <c r="S403" s="98">
        <v>11172069.449999999</v>
      </c>
      <c r="T403" s="97"/>
      <c r="U403" s="100">
        <f t="shared" si="148"/>
        <v>0</v>
      </c>
      <c r="V403" s="107">
        <f t="shared" si="149"/>
        <v>0</v>
      </c>
      <c r="W403" s="91"/>
      <c r="X403" s="153">
        <v>35</v>
      </c>
      <c r="Y403" s="144">
        <f t="shared" ref="Y403:Y414" si="151">(F403*3.5%)+F403</f>
        <v>244721.52128571426</v>
      </c>
      <c r="Z403" s="106">
        <f t="shared" ref="Z403:Z414" si="152">ROUND(X403*Y403,0)</f>
        <v>8565253</v>
      </c>
      <c r="AA403" s="116"/>
      <c r="AB403" s="116"/>
      <c r="AC403" s="116"/>
      <c r="AD403" s="108">
        <f t="shared" ref="AD403:AD413" si="153">G403+Z403+AC403</f>
        <v>8565253</v>
      </c>
    </row>
    <row r="404" spans="1:30" ht="15" x14ac:dyDescent="0.2">
      <c r="A404" s="91"/>
      <c r="B404" s="103" t="s">
        <v>780</v>
      </c>
      <c r="C404" s="150" t="s">
        <v>943</v>
      </c>
      <c r="D404" s="103" t="s">
        <v>5</v>
      </c>
      <c r="E404" s="104"/>
      <c r="F404" s="106">
        <v>160282.57142857142</v>
      </c>
      <c r="G404" s="116">
        <f t="shared" si="150"/>
        <v>0</v>
      </c>
      <c r="H404" s="95"/>
      <c r="I404" s="95"/>
      <c r="J404" s="96"/>
      <c r="K404" s="96"/>
      <c r="L404" s="91"/>
      <c r="M404" s="91"/>
      <c r="N404" s="91"/>
      <c r="O404" s="91"/>
      <c r="P404" s="91"/>
      <c r="Q404" s="91"/>
      <c r="R404" s="97">
        <f t="shared" si="139"/>
        <v>0</v>
      </c>
      <c r="S404" s="98">
        <v>1514670.2999999998</v>
      </c>
      <c r="T404" s="97"/>
      <c r="U404" s="100">
        <f t="shared" si="148"/>
        <v>0</v>
      </c>
      <c r="V404" s="107">
        <f t="shared" si="149"/>
        <v>0</v>
      </c>
      <c r="W404" s="91"/>
      <c r="X404" s="153">
        <v>7</v>
      </c>
      <c r="Y404" s="144">
        <f t="shared" si="151"/>
        <v>165892.46142857143</v>
      </c>
      <c r="Z404" s="106">
        <f t="shared" si="152"/>
        <v>1161247</v>
      </c>
      <c r="AA404" s="116"/>
      <c r="AB404" s="116"/>
      <c r="AC404" s="116"/>
      <c r="AD404" s="108">
        <f t="shared" si="153"/>
        <v>1161247</v>
      </c>
    </row>
    <row r="405" spans="1:30" ht="30" x14ac:dyDescent="0.2">
      <c r="A405" s="91"/>
      <c r="B405" s="103" t="s">
        <v>781</v>
      </c>
      <c r="C405" s="150" t="s">
        <v>995</v>
      </c>
      <c r="D405" s="103" t="s">
        <v>5</v>
      </c>
      <c r="E405" s="104"/>
      <c r="F405" s="106">
        <v>176760.97857142857</v>
      </c>
      <c r="G405" s="116">
        <f t="shared" si="150"/>
        <v>0</v>
      </c>
      <c r="H405" s="95"/>
      <c r="I405" s="95"/>
      <c r="J405" s="96"/>
      <c r="K405" s="96"/>
      <c r="L405" s="91"/>
      <c r="M405" s="91"/>
      <c r="N405" s="91"/>
      <c r="O405" s="91"/>
      <c r="P405" s="91"/>
      <c r="Q405" s="91"/>
      <c r="R405" s="97">
        <f t="shared" si="139"/>
        <v>0</v>
      </c>
      <c r="S405" s="98">
        <v>16703912.475000001</v>
      </c>
      <c r="T405" s="97"/>
      <c r="U405" s="100">
        <f t="shared" si="148"/>
        <v>0</v>
      </c>
      <c r="V405" s="107">
        <f t="shared" si="149"/>
        <v>0</v>
      </c>
      <c r="W405" s="91"/>
      <c r="X405" s="153">
        <v>70</v>
      </c>
      <c r="Y405" s="144">
        <f t="shared" si="151"/>
        <v>182947.61282142857</v>
      </c>
      <c r="Z405" s="106">
        <f t="shared" si="152"/>
        <v>12806333</v>
      </c>
      <c r="AA405" s="116"/>
      <c r="AB405" s="116"/>
      <c r="AC405" s="116"/>
      <c r="AD405" s="108">
        <f t="shared" si="153"/>
        <v>12806333</v>
      </c>
    </row>
    <row r="406" spans="1:30" ht="30" x14ac:dyDescent="0.2">
      <c r="A406" s="91"/>
      <c r="B406" s="103" t="s">
        <v>782</v>
      </c>
      <c r="C406" s="150" t="s">
        <v>996</v>
      </c>
      <c r="D406" s="103" t="s">
        <v>5</v>
      </c>
      <c r="E406" s="104"/>
      <c r="F406" s="106">
        <v>17835.392592592594</v>
      </c>
      <c r="G406" s="116">
        <f t="shared" si="150"/>
        <v>0</v>
      </c>
      <c r="H406" s="95"/>
      <c r="I406" s="95"/>
      <c r="J406" s="96"/>
      <c r="K406" s="96"/>
      <c r="L406" s="91"/>
      <c r="M406" s="91"/>
      <c r="N406" s="91"/>
      <c r="O406" s="91"/>
      <c r="P406" s="91"/>
      <c r="Q406" s="91"/>
      <c r="R406" s="97">
        <f t="shared" si="139"/>
        <v>0</v>
      </c>
      <c r="S406" s="98">
        <v>722333.40000000014</v>
      </c>
      <c r="T406" s="97"/>
      <c r="U406" s="100">
        <f t="shared" si="148"/>
        <v>0</v>
      </c>
      <c r="V406" s="107">
        <f t="shared" si="149"/>
        <v>0</v>
      </c>
      <c r="W406" s="91"/>
      <c r="X406" s="153">
        <v>30</v>
      </c>
      <c r="Y406" s="144">
        <f t="shared" si="151"/>
        <v>18459.631333333335</v>
      </c>
      <c r="Z406" s="106">
        <f t="shared" si="152"/>
        <v>553789</v>
      </c>
      <c r="AA406" s="116"/>
      <c r="AB406" s="116"/>
      <c r="AC406" s="116"/>
      <c r="AD406" s="108">
        <f t="shared" si="153"/>
        <v>553789</v>
      </c>
    </row>
    <row r="407" spans="1:30" ht="30" x14ac:dyDescent="0.2">
      <c r="A407" s="91"/>
      <c r="B407" s="103" t="s">
        <v>783</v>
      </c>
      <c r="C407" s="150" t="s">
        <v>944</v>
      </c>
      <c r="D407" s="103" t="s">
        <v>5</v>
      </c>
      <c r="E407" s="104"/>
      <c r="F407" s="106">
        <v>77815.7</v>
      </c>
      <c r="G407" s="116">
        <f t="shared" si="150"/>
        <v>0</v>
      </c>
      <c r="H407" s="95"/>
      <c r="I407" s="95"/>
      <c r="J407" s="96"/>
      <c r="K407" s="96"/>
      <c r="L407" s="91"/>
      <c r="M407" s="91"/>
      <c r="N407" s="91"/>
      <c r="O407" s="91"/>
      <c r="P407" s="91"/>
      <c r="Q407" s="91"/>
      <c r="R407" s="97">
        <f t="shared" si="139"/>
        <v>0</v>
      </c>
      <c r="S407" s="98">
        <v>525255.97499999998</v>
      </c>
      <c r="T407" s="97"/>
      <c r="U407" s="100">
        <f t="shared" si="148"/>
        <v>0</v>
      </c>
      <c r="V407" s="107">
        <f t="shared" si="149"/>
        <v>0</v>
      </c>
      <c r="W407" s="91"/>
      <c r="X407" s="153">
        <v>5</v>
      </c>
      <c r="Y407" s="144">
        <f t="shared" si="151"/>
        <v>80539.249499999991</v>
      </c>
      <c r="Z407" s="106">
        <f t="shared" si="152"/>
        <v>402696</v>
      </c>
      <c r="AA407" s="116"/>
      <c r="AB407" s="116"/>
      <c r="AC407" s="116"/>
      <c r="AD407" s="108">
        <f t="shared" si="153"/>
        <v>402696</v>
      </c>
    </row>
    <row r="408" spans="1:30" ht="30" x14ac:dyDescent="0.2">
      <c r="A408" s="91"/>
      <c r="B408" s="103" t="s">
        <v>784</v>
      </c>
      <c r="C408" s="150" t="s">
        <v>945</v>
      </c>
      <c r="D408" s="103" t="s">
        <v>5</v>
      </c>
      <c r="E408" s="104"/>
      <c r="F408" s="106">
        <v>81955.26916666668</v>
      </c>
      <c r="G408" s="116">
        <f t="shared" si="150"/>
        <v>0</v>
      </c>
      <c r="H408" s="95"/>
      <c r="I408" s="95"/>
      <c r="J408" s="96"/>
      <c r="K408" s="96"/>
      <c r="L408" s="91"/>
      <c r="M408" s="91"/>
      <c r="N408" s="91"/>
      <c r="O408" s="91"/>
      <c r="P408" s="91"/>
      <c r="Q408" s="91"/>
      <c r="R408" s="97">
        <f t="shared" si="139"/>
        <v>0</v>
      </c>
      <c r="S408" s="98">
        <v>3319188.4012500001</v>
      </c>
      <c r="T408" s="97"/>
      <c r="U408" s="100">
        <f t="shared" si="148"/>
        <v>0</v>
      </c>
      <c r="V408" s="107">
        <f t="shared" si="149"/>
        <v>0</v>
      </c>
      <c r="W408" s="91"/>
      <c r="X408" s="153">
        <v>30</v>
      </c>
      <c r="Y408" s="144">
        <f t="shared" si="151"/>
        <v>84823.703587500015</v>
      </c>
      <c r="Z408" s="106">
        <f t="shared" si="152"/>
        <v>2544711</v>
      </c>
      <c r="AA408" s="116"/>
      <c r="AB408" s="116"/>
      <c r="AC408" s="116"/>
      <c r="AD408" s="108">
        <f t="shared" si="153"/>
        <v>2544711</v>
      </c>
    </row>
    <row r="409" spans="1:30" ht="15" x14ac:dyDescent="0.2">
      <c r="A409" s="91"/>
      <c r="B409" s="103" t="s">
        <v>785</v>
      </c>
      <c r="C409" s="150" t="s">
        <v>946</v>
      </c>
      <c r="D409" s="103" t="s">
        <v>5</v>
      </c>
      <c r="E409" s="104"/>
      <c r="F409" s="106">
        <v>134300.6</v>
      </c>
      <c r="G409" s="116">
        <f t="shared" si="150"/>
        <v>0</v>
      </c>
      <c r="H409" s="95"/>
      <c r="I409" s="95"/>
      <c r="J409" s="96"/>
      <c r="K409" s="96"/>
      <c r="L409" s="91"/>
      <c r="M409" s="91"/>
      <c r="N409" s="91"/>
      <c r="O409" s="91"/>
      <c r="P409" s="91"/>
      <c r="Q409" s="91"/>
      <c r="R409" s="97">
        <f t="shared" si="139"/>
        <v>0</v>
      </c>
      <c r="S409" s="98">
        <v>906529.05</v>
      </c>
      <c r="T409" s="97"/>
      <c r="U409" s="100">
        <f t="shared" si="148"/>
        <v>0</v>
      </c>
      <c r="V409" s="107">
        <f t="shared" si="149"/>
        <v>0</v>
      </c>
      <c r="W409" s="91"/>
      <c r="X409" s="153">
        <v>5</v>
      </c>
      <c r="Y409" s="144">
        <f t="shared" si="151"/>
        <v>139001.12100000001</v>
      </c>
      <c r="Z409" s="106">
        <f t="shared" si="152"/>
        <v>695006</v>
      </c>
      <c r="AA409" s="116"/>
      <c r="AB409" s="116"/>
      <c r="AC409" s="116"/>
      <c r="AD409" s="108">
        <f t="shared" si="153"/>
        <v>695006</v>
      </c>
    </row>
    <row r="410" spans="1:30" ht="30" x14ac:dyDescent="0.2">
      <c r="A410" s="91"/>
      <c r="B410" s="103" t="s">
        <v>786</v>
      </c>
      <c r="C410" s="150" t="s">
        <v>997</v>
      </c>
      <c r="D410" s="103" t="s">
        <v>5</v>
      </c>
      <c r="E410" s="104"/>
      <c r="F410" s="106">
        <v>310902.5</v>
      </c>
      <c r="G410" s="116">
        <f t="shared" si="150"/>
        <v>0</v>
      </c>
      <c r="H410" s="95"/>
      <c r="I410" s="95"/>
      <c r="J410" s="96"/>
      <c r="K410" s="96"/>
      <c r="L410" s="91"/>
      <c r="M410" s="91"/>
      <c r="N410" s="91"/>
      <c r="O410" s="91"/>
      <c r="P410" s="91"/>
      <c r="Q410" s="91"/>
      <c r="R410" s="97">
        <f t="shared" si="139"/>
        <v>0</v>
      </c>
      <c r="S410" s="98">
        <v>839436.75</v>
      </c>
      <c r="T410" s="97"/>
      <c r="U410" s="100">
        <f t="shared" si="148"/>
        <v>0</v>
      </c>
      <c r="V410" s="107">
        <f t="shared" si="149"/>
        <v>0</v>
      </c>
      <c r="W410" s="91"/>
      <c r="X410" s="153">
        <v>2</v>
      </c>
      <c r="Y410" s="144">
        <f t="shared" si="151"/>
        <v>321784.08750000002</v>
      </c>
      <c r="Z410" s="106">
        <f t="shared" si="152"/>
        <v>643568</v>
      </c>
      <c r="AA410" s="116"/>
      <c r="AB410" s="116"/>
      <c r="AC410" s="116"/>
      <c r="AD410" s="108">
        <f t="shared" si="153"/>
        <v>643568</v>
      </c>
    </row>
    <row r="411" spans="1:30" ht="15" x14ac:dyDescent="0.2">
      <c r="A411" s="91"/>
      <c r="B411" s="103" t="s">
        <v>787</v>
      </c>
      <c r="C411" s="150" t="s">
        <v>998</v>
      </c>
      <c r="D411" s="103" t="s">
        <v>5</v>
      </c>
      <c r="E411" s="104"/>
      <c r="F411" s="106">
        <v>414820.5</v>
      </c>
      <c r="G411" s="116">
        <f t="shared" si="150"/>
        <v>0</v>
      </c>
      <c r="H411" s="95"/>
      <c r="I411" s="95"/>
      <c r="J411" s="96"/>
      <c r="K411" s="96"/>
      <c r="L411" s="91"/>
      <c r="M411" s="91"/>
      <c r="N411" s="91"/>
      <c r="O411" s="91"/>
      <c r="P411" s="91"/>
      <c r="Q411" s="91"/>
      <c r="R411" s="97">
        <f t="shared" si="139"/>
        <v>0</v>
      </c>
      <c r="S411" s="98">
        <v>1120015.3500000001</v>
      </c>
      <c r="T411" s="97"/>
      <c r="U411" s="100">
        <f t="shared" si="148"/>
        <v>0</v>
      </c>
      <c r="V411" s="107">
        <f t="shared" si="149"/>
        <v>0</v>
      </c>
      <c r="W411" s="91"/>
      <c r="X411" s="153">
        <v>2</v>
      </c>
      <c r="Y411" s="144">
        <f t="shared" si="151"/>
        <v>429339.21750000003</v>
      </c>
      <c r="Z411" s="106">
        <f t="shared" si="152"/>
        <v>858678</v>
      </c>
      <c r="AA411" s="116"/>
      <c r="AB411" s="116"/>
      <c r="AC411" s="116"/>
      <c r="AD411" s="108">
        <f t="shared" si="153"/>
        <v>858678</v>
      </c>
    </row>
    <row r="412" spans="1:30" ht="30" x14ac:dyDescent="0.2">
      <c r="A412" s="91"/>
      <c r="B412" s="103" t="s">
        <v>1131</v>
      </c>
      <c r="C412" s="150" t="s">
        <v>947</v>
      </c>
      <c r="D412" s="103" t="s">
        <v>5</v>
      </c>
      <c r="E412" s="104"/>
      <c r="F412" s="106">
        <v>1419519</v>
      </c>
      <c r="G412" s="116">
        <f t="shared" si="150"/>
        <v>0</v>
      </c>
      <c r="H412" s="95"/>
      <c r="I412" s="95"/>
      <c r="J412" s="96"/>
      <c r="K412" s="96"/>
      <c r="L412" s="91"/>
      <c r="M412" s="91"/>
      <c r="N412" s="91"/>
      <c r="O412" s="91"/>
      <c r="P412" s="91"/>
      <c r="Q412" s="91"/>
      <c r="R412" s="97">
        <f t="shared" si="139"/>
        <v>0</v>
      </c>
      <c r="S412" s="98">
        <v>1916350.65</v>
      </c>
      <c r="T412" s="97"/>
      <c r="U412" s="100">
        <f t="shared" si="148"/>
        <v>0</v>
      </c>
      <c r="V412" s="107">
        <f t="shared" si="149"/>
        <v>0</v>
      </c>
      <c r="W412" s="91"/>
      <c r="X412" s="153">
        <v>1</v>
      </c>
      <c r="Y412" s="144">
        <f t="shared" si="151"/>
        <v>1469202.165</v>
      </c>
      <c r="Z412" s="106">
        <f t="shared" si="152"/>
        <v>1469202</v>
      </c>
      <c r="AA412" s="116"/>
      <c r="AB412" s="116"/>
      <c r="AC412" s="116"/>
      <c r="AD412" s="108">
        <f t="shared" si="153"/>
        <v>1469202</v>
      </c>
    </row>
    <row r="413" spans="1:30" ht="195" x14ac:dyDescent="0.2">
      <c r="A413" s="91"/>
      <c r="B413" s="103" t="s">
        <v>1132</v>
      </c>
      <c r="C413" s="150" t="s">
        <v>948</v>
      </c>
      <c r="D413" s="103" t="s">
        <v>5</v>
      </c>
      <c r="E413" s="104"/>
      <c r="F413" s="106">
        <v>5986609.5</v>
      </c>
      <c r="G413" s="116">
        <f t="shared" si="150"/>
        <v>0</v>
      </c>
      <c r="H413" s="95"/>
      <c r="I413" s="95"/>
      <c r="J413" s="96"/>
      <c r="K413" s="96"/>
      <c r="L413" s="91"/>
      <c r="M413" s="91"/>
      <c r="N413" s="91"/>
      <c r="O413" s="91"/>
      <c r="P413" s="91"/>
      <c r="Q413" s="91"/>
      <c r="R413" s="97">
        <f t="shared" si="139"/>
        <v>0</v>
      </c>
      <c r="S413" s="98">
        <v>16163845.649999999</v>
      </c>
      <c r="T413" s="97"/>
      <c r="U413" s="100">
        <f t="shared" si="148"/>
        <v>0</v>
      </c>
      <c r="V413" s="107">
        <f t="shared" si="149"/>
        <v>0</v>
      </c>
      <c r="W413" s="91"/>
      <c r="X413" s="153">
        <v>2</v>
      </c>
      <c r="Y413" s="144">
        <f t="shared" si="151"/>
        <v>6196140.8324999996</v>
      </c>
      <c r="Z413" s="106">
        <f t="shared" si="152"/>
        <v>12392282</v>
      </c>
      <c r="AA413" s="116"/>
      <c r="AB413" s="116"/>
      <c r="AC413" s="116"/>
      <c r="AD413" s="108">
        <f t="shared" si="153"/>
        <v>12392282</v>
      </c>
    </row>
    <row r="414" spans="1:30" ht="15" x14ac:dyDescent="0.2">
      <c r="A414" s="91"/>
      <c r="B414" s="103" t="s">
        <v>1133</v>
      </c>
      <c r="C414" s="150" t="s">
        <v>949</v>
      </c>
      <c r="D414" s="103" t="s">
        <v>5</v>
      </c>
      <c r="E414" s="104"/>
      <c r="F414" s="106">
        <v>8995.849836065574</v>
      </c>
      <c r="G414" s="116">
        <f t="shared" si="150"/>
        <v>0</v>
      </c>
      <c r="H414" s="95"/>
      <c r="I414" s="95"/>
      <c r="J414" s="96"/>
      <c r="K414" s="96"/>
      <c r="L414" s="91"/>
      <c r="M414" s="91"/>
      <c r="N414" s="91"/>
      <c r="O414" s="91"/>
      <c r="P414" s="91"/>
      <c r="Q414" s="91"/>
      <c r="R414" s="97">
        <f t="shared" si="139"/>
        <v>0</v>
      </c>
      <c r="S414" s="98">
        <v>18520205.850000001</v>
      </c>
      <c r="T414" s="97"/>
      <c r="U414" s="100">
        <f t="shared" si="148"/>
        <v>0</v>
      </c>
      <c r="V414" s="107">
        <f t="shared" si="149"/>
        <v>0</v>
      </c>
      <c r="W414" s="91"/>
      <c r="X414" s="153">
        <v>1525</v>
      </c>
      <c r="Y414" s="144">
        <f t="shared" si="151"/>
        <v>9310.7045803278688</v>
      </c>
      <c r="Z414" s="106">
        <f t="shared" si="152"/>
        <v>14198824</v>
      </c>
      <c r="AA414" s="116"/>
      <c r="AB414" s="116"/>
      <c r="AC414" s="116"/>
      <c r="AD414" s="108">
        <f>G414+Z414+AC414</f>
        <v>14198824</v>
      </c>
    </row>
    <row r="415" spans="1:30" x14ac:dyDescent="0.2">
      <c r="A415" s="91"/>
      <c r="B415" s="103"/>
      <c r="C415" s="102"/>
      <c r="D415" s="103"/>
      <c r="E415" s="122"/>
      <c r="F415" s="106"/>
      <c r="G415" s="108"/>
      <c r="H415" s="95"/>
      <c r="I415" s="95"/>
      <c r="J415" s="96"/>
      <c r="K415" s="96"/>
      <c r="L415" s="91"/>
      <c r="M415" s="91"/>
      <c r="N415" s="91"/>
      <c r="O415" s="91"/>
      <c r="P415" s="91"/>
      <c r="Q415" s="91"/>
      <c r="R415" s="97">
        <f t="shared" si="139"/>
        <v>0</v>
      </c>
      <c r="S415" s="98">
        <v>0</v>
      </c>
      <c r="T415" s="97"/>
      <c r="U415" s="100">
        <f t="shared" si="148"/>
        <v>0</v>
      </c>
      <c r="V415" s="107">
        <f t="shared" si="149"/>
        <v>0</v>
      </c>
      <c r="W415" s="91"/>
      <c r="X415" s="108"/>
      <c r="Y415" s="108"/>
      <c r="Z415" s="108"/>
      <c r="AA415" s="108"/>
      <c r="AB415" s="108"/>
      <c r="AC415" s="108"/>
      <c r="AD415" s="108"/>
    </row>
    <row r="416" spans="1:30" ht="15" x14ac:dyDescent="0.2">
      <c r="A416" s="91"/>
      <c r="B416" s="92" t="s">
        <v>1134</v>
      </c>
      <c r="C416" s="93" t="s">
        <v>122</v>
      </c>
      <c r="D416" s="92"/>
      <c r="E416" s="112"/>
      <c r="F416" s="93"/>
      <c r="G416" s="113">
        <f>SUM(G417)</f>
        <v>0</v>
      </c>
      <c r="H416" s="95"/>
      <c r="I416" s="95"/>
      <c r="J416" s="96"/>
      <c r="K416" s="96"/>
      <c r="L416" s="91"/>
      <c r="M416" s="91"/>
      <c r="N416" s="91"/>
      <c r="O416" s="91"/>
      <c r="P416" s="91"/>
      <c r="Q416" s="91"/>
      <c r="R416" s="97">
        <f t="shared" si="139"/>
        <v>0</v>
      </c>
      <c r="S416" s="98">
        <v>22286731.5</v>
      </c>
      <c r="T416" s="97"/>
      <c r="U416" s="100">
        <f t="shared" si="148"/>
        <v>0</v>
      </c>
      <c r="V416" s="107">
        <f t="shared" si="149"/>
        <v>0</v>
      </c>
      <c r="W416" s="91"/>
      <c r="X416" s="113"/>
      <c r="Y416" s="113"/>
      <c r="Z416" s="113">
        <f>SUM(Z417)</f>
        <v>17086494.149999999</v>
      </c>
      <c r="AA416" s="113"/>
      <c r="AB416" s="113"/>
      <c r="AC416" s="113"/>
      <c r="AD416" s="94">
        <f>G416+Z416+AC416</f>
        <v>17086494.149999999</v>
      </c>
    </row>
    <row r="417" spans="1:30" ht="15" x14ac:dyDescent="0.2">
      <c r="A417" s="91"/>
      <c r="B417" s="103" t="s">
        <v>1135</v>
      </c>
      <c r="C417" s="154" t="s">
        <v>474</v>
      </c>
      <c r="D417" s="103" t="s">
        <v>11</v>
      </c>
      <c r="E417" s="104"/>
      <c r="F417" s="217">
        <v>16508690</v>
      </c>
      <c r="G417" s="206">
        <v>0</v>
      </c>
      <c r="H417" s="95"/>
      <c r="I417" s="95"/>
      <c r="J417" s="96"/>
      <c r="K417" s="96"/>
      <c r="L417" s="91"/>
      <c r="M417" s="91"/>
      <c r="N417" s="91"/>
      <c r="O417" s="91"/>
      <c r="P417" s="91"/>
      <c r="Q417" s="91"/>
      <c r="R417" s="97">
        <f t="shared" si="139"/>
        <v>0</v>
      </c>
      <c r="S417" s="98">
        <v>22286731.5</v>
      </c>
      <c r="T417" s="97"/>
      <c r="U417" s="100">
        <f t="shared" si="148"/>
        <v>0</v>
      </c>
      <c r="V417" s="107">
        <f t="shared" si="149"/>
        <v>0</v>
      </c>
      <c r="W417" s="91"/>
      <c r="X417" s="122">
        <v>80</v>
      </c>
      <c r="Y417" s="206">
        <f>(F417*3.5%)+F417</f>
        <v>17086494.149999999</v>
      </c>
      <c r="Z417" s="206">
        <f>Y417</f>
        <v>17086494.149999999</v>
      </c>
      <c r="AA417" s="206"/>
      <c r="AB417" s="206"/>
      <c r="AC417" s="206"/>
      <c r="AD417" s="206">
        <f>+Z417</f>
        <v>17086494.149999999</v>
      </c>
    </row>
    <row r="418" spans="1:30" ht="15" x14ac:dyDescent="0.2">
      <c r="A418" s="91"/>
      <c r="B418" s="103" t="s">
        <v>1136</v>
      </c>
      <c r="C418" s="154" t="s">
        <v>475</v>
      </c>
      <c r="D418" s="103" t="s">
        <v>11</v>
      </c>
      <c r="E418" s="104"/>
      <c r="F418" s="217"/>
      <c r="G418" s="206"/>
      <c r="H418" s="95"/>
      <c r="I418" s="95"/>
      <c r="J418" s="96"/>
      <c r="K418" s="96"/>
      <c r="L418" s="91"/>
      <c r="M418" s="91"/>
      <c r="N418" s="91"/>
      <c r="O418" s="91"/>
      <c r="P418" s="91"/>
      <c r="Q418" s="91"/>
      <c r="R418" s="97">
        <f t="shared" si="139"/>
        <v>0</v>
      </c>
      <c r="S418" s="98">
        <v>0</v>
      </c>
      <c r="T418" s="97"/>
      <c r="U418" s="100">
        <f t="shared" si="148"/>
        <v>0</v>
      </c>
      <c r="V418" s="107">
        <f t="shared" si="149"/>
        <v>0</v>
      </c>
      <c r="W418" s="91"/>
      <c r="X418" s="122">
        <v>15</v>
      </c>
      <c r="Y418" s="206">
        <f t="shared" ref="Y418:Y429" si="154">(F418*3.5%)+F418</f>
        <v>0</v>
      </c>
      <c r="Z418" s="206">
        <f t="shared" ref="Z418:Z429" si="155">ROUND(X418*Y418,0)</f>
        <v>0</v>
      </c>
      <c r="AA418" s="206"/>
      <c r="AB418" s="206"/>
      <c r="AC418" s="206"/>
      <c r="AD418" s="206"/>
    </row>
    <row r="419" spans="1:30" ht="15" x14ac:dyDescent="0.2">
      <c r="A419" s="91"/>
      <c r="B419" s="103" t="s">
        <v>1137</v>
      </c>
      <c r="C419" s="154" t="s">
        <v>476</v>
      </c>
      <c r="D419" s="103" t="s">
        <v>5</v>
      </c>
      <c r="E419" s="104"/>
      <c r="F419" s="217"/>
      <c r="G419" s="206"/>
      <c r="H419" s="95"/>
      <c r="I419" s="95"/>
      <c r="J419" s="96"/>
      <c r="K419" s="96"/>
      <c r="L419" s="91"/>
      <c r="M419" s="91"/>
      <c r="N419" s="91"/>
      <c r="O419" s="91"/>
      <c r="P419" s="91"/>
      <c r="Q419" s="91"/>
      <c r="R419" s="97">
        <f t="shared" si="139"/>
        <v>0</v>
      </c>
      <c r="S419" s="98">
        <v>0</v>
      </c>
      <c r="T419" s="97"/>
      <c r="U419" s="100">
        <f t="shared" si="148"/>
        <v>0</v>
      </c>
      <c r="V419" s="107">
        <f t="shared" si="149"/>
        <v>0</v>
      </c>
      <c r="W419" s="91"/>
      <c r="X419" s="122">
        <v>1</v>
      </c>
      <c r="Y419" s="206">
        <f t="shared" si="154"/>
        <v>0</v>
      </c>
      <c r="Z419" s="206">
        <f t="shared" si="155"/>
        <v>0</v>
      </c>
      <c r="AA419" s="206"/>
      <c r="AB419" s="206"/>
      <c r="AC419" s="206"/>
      <c r="AD419" s="206"/>
    </row>
    <row r="420" spans="1:30" ht="15" x14ac:dyDescent="0.2">
      <c r="A420" s="91"/>
      <c r="B420" s="103" t="s">
        <v>1138</v>
      </c>
      <c r="C420" s="154" t="s">
        <v>477</v>
      </c>
      <c r="D420" s="103" t="s">
        <v>5</v>
      </c>
      <c r="E420" s="104"/>
      <c r="F420" s="217"/>
      <c r="G420" s="206"/>
      <c r="H420" s="95"/>
      <c r="I420" s="95"/>
      <c r="J420" s="96"/>
      <c r="K420" s="96"/>
      <c r="L420" s="91"/>
      <c r="M420" s="91"/>
      <c r="N420" s="91"/>
      <c r="O420" s="91"/>
      <c r="P420" s="91"/>
      <c r="Q420" s="91"/>
      <c r="R420" s="97">
        <f t="shared" si="139"/>
        <v>0</v>
      </c>
      <c r="S420" s="98">
        <v>0</v>
      </c>
      <c r="T420" s="97"/>
      <c r="U420" s="100">
        <f t="shared" si="148"/>
        <v>0</v>
      </c>
      <c r="V420" s="107">
        <f t="shared" si="149"/>
        <v>0</v>
      </c>
      <c r="W420" s="91"/>
      <c r="X420" s="122">
        <v>4</v>
      </c>
      <c r="Y420" s="206">
        <f t="shared" si="154"/>
        <v>0</v>
      </c>
      <c r="Z420" s="206">
        <f t="shared" si="155"/>
        <v>0</v>
      </c>
      <c r="AA420" s="206"/>
      <c r="AB420" s="206"/>
      <c r="AC420" s="206"/>
      <c r="AD420" s="206"/>
    </row>
    <row r="421" spans="1:30" ht="15" x14ac:dyDescent="0.2">
      <c r="A421" s="91"/>
      <c r="B421" s="103" t="s">
        <v>1139</v>
      </c>
      <c r="C421" s="154" t="s">
        <v>478</v>
      </c>
      <c r="D421" s="103" t="s">
        <v>5</v>
      </c>
      <c r="E421" s="104"/>
      <c r="F421" s="217"/>
      <c r="G421" s="206"/>
      <c r="H421" s="95"/>
      <c r="I421" s="95"/>
      <c r="J421" s="96"/>
      <c r="K421" s="96"/>
      <c r="L421" s="91"/>
      <c r="M421" s="91"/>
      <c r="N421" s="91"/>
      <c r="O421" s="91"/>
      <c r="P421" s="91"/>
      <c r="Q421" s="91"/>
      <c r="R421" s="97">
        <f t="shared" si="139"/>
        <v>0</v>
      </c>
      <c r="S421" s="98">
        <v>0</v>
      </c>
      <c r="T421" s="97"/>
      <c r="U421" s="100">
        <f t="shared" si="148"/>
        <v>0</v>
      </c>
      <c r="V421" s="107">
        <f t="shared" si="149"/>
        <v>0</v>
      </c>
      <c r="W421" s="91"/>
      <c r="X421" s="122">
        <v>63</v>
      </c>
      <c r="Y421" s="206">
        <f t="shared" si="154"/>
        <v>0</v>
      </c>
      <c r="Z421" s="206">
        <f t="shared" si="155"/>
        <v>0</v>
      </c>
      <c r="AA421" s="206"/>
      <c r="AB421" s="206"/>
      <c r="AC421" s="206"/>
      <c r="AD421" s="206"/>
    </row>
    <row r="422" spans="1:30" ht="15" x14ac:dyDescent="0.2">
      <c r="A422" s="91"/>
      <c r="B422" s="103" t="s">
        <v>1140</v>
      </c>
      <c r="C422" s="154" t="s">
        <v>479</v>
      </c>
      <c r="D422" s="103" t="s">
        <v>5</v>
      </c>
      <c r="E422" s="104"/>
      <c r="F422" s="217"/>
      <c r="G422" s="206"/>
      <c r="H422" s="95"/>
      <c r="I422" s="95"/>
      <c r="J422" s="96"/>
      <c r="K422" s="96"/>
      <c r="L422" s="91"/>
      <c r="M422" s="91"/>
      <c r="N422" s="91"/>
      <c r="O422" s="91"/>
      <c r="P422" s="91"/>
      <c r="Q422" s="91"/>
      <c r="R422" s="97">
        <f t="shared" si="139"/>
        <v>0</v>
      </c>
      <c r="S422" s="98">
        <v>0</v>
      </c>
      <c r="T422" s="97"/>
      <c r="U422" s="100">
        <f t="shared" si="148"/>
        <v>0</v>
      </c>
      <c r="V422" s="107">
        <f t="shared" si="149"/>
        <v>0</v>
      </c>
      <c r="W422" s="91"/>
      <c r="X422" s="122">
        <v>9</v>
      </c>
      <c r="Y422" s="206">
        <f t="shared" si="154"/>
        <v>0</v>
      </c>
      <c r="Z422" s="206">
        <f t="shared" si="155"/>
        <v>0</v>
      </c>
      <c r="AA422" s="206"/>
      <c r="AB422" s="206"/>
      <c r="AC422" s="206"/>
      <c r="AD422" s="206"/>
    </row>
    <row r="423" spans="1:30" ht="15" x14ac:dyDescent="0.2">
      <c r="A423" s="91"/>
      <c r="B423" s="103" t="s">
        <v>1141</v>
      </c>
      <c r="C423" s="154" t="s">
        <v>480</v>
      </c>
      <c r="D423" s="103" t="s">
        <v>5</v>
      </c>
      <c r="E423" s="104"/>
      <c r="F423" s="217"/>
      <c r="G423" s="206"/>
      <c r="H423" s="95"/>
      <c r="I423" s="95"/>
      <c r="J423" s="96"/>
      <c r="K423" s="96"/>
      <c r="L423" s="91"/>
      <c r="M423" s="91"/>
      <c r="N423" s="91"/>
      <c r="O423" s="91"/>
      <c r="P423" s="91"/>
      <c r="Q423" s="91"/>
      <c r="R423" s="97">
        <f t="shared" si="139"/>
        <v>0</v>
      </c>
      <c r="S423" s="98">
        <v>0</v>
      </c>
      <c r="T423" s="97"/>
      <c r="U423" s="100">
        <f t="shared" si="148"/>
        <v>0</v>
      </c>
      <c r="V423" s="107">
        <f t="shared" si="149"/>
        <v>0</v>
      </c>
      <c r="W423" s="91"/>
      <c r="X423" s="122">
        <v>6</v>
      </c>
      <c r="Y423" s="206">
        <f t="shared" si="154"/>
        <v>0</v>
      </c>
      <c r="Z423" s="206">
        <f t="shared" si="155"/>
        <v>0</v>
      </c>
      <c r="AA423" s="206"/>
      <c r="AB423" s="206"/>
      <c r="AC423" s="206"/>
      <c r="AD423" s="206"/>
    </row>
    <row r="424" spans="1:30" ht="15" x14ac:dyDescent="0.2">
      <c r="A424" s="91"/>
      <c r="B424" s="103" t="s">
        <v>1142</v>
      </c>
      <c r="C424" s="154" t="s">
        <v>481</v>
      </c>
      <c r="D424" s="103" t="s">
        <v>5</v>
      </c>
      <c r="E424" s="104"/>
      <c r="F424" s="217"/>
      <c r="G424" s="206"/>
      <c r="H424" s="95"/>
      <c r="I424" s="95"/>
      <c r="J424" s="96"/>
      <c r="K424" s="96"/>
      <c r="L424" s="91"/>
      <c r="M424" s="91"/>
      <c r="N424" s="91"/>
      <c r="O424" s="91"/>
      <c r="P424" s="91"/>
      <c r="Q424" s="91"/>
      <c r="R424" s="97">
        <f t="shared" si="139"/>
        <v>0</v>
      </c>
      <c r="S424" s="98">
        <v>0</v>
      </c>
      <c r="T424" s="97"/>
      <c r="U424" s="100">
        <f t="shared" si="148"/>
        <v>0</v>
      </c>
      <c r="V424" s="107">
        <f t="shared" si="149"/>
        <v>0</v>
      </c>
      <c r="W424" s="91"/>
      <c r="X424" s="122">
        <v>9</v>
      </c>
      <c r="Y424" s="206">
        <f t="shared" si="154"/>
        <v>0</v>
      </c>
      <c r="Z424" s="206">
        <f t="shared" si="155"/>
        <v>0</v>
      </c>
      <c r="AA424" s="206"/>
      <c r="AB424" s="206"/>
      <c r="AC424" s="206"/>
      <c r="AD424" s="206"/>
    </row>
    <row r="425" spans="1:30" ht="15" x14ac:dyDescent="0.2">
      <c r="A425" s="91"/>
      <c r="B425" s="103" t="s">
        <v>1143</v>
      </c>
      <c r="C425" s="154" t="s">
        <v>482</v>
      </c>
      <c r="D425" s="103" t="s">
        <v>5</v>
      </c>
      <c r="E425" s="104"/>
      <c r="F425" s="217"/>
      <c r="G425" s="206"/>
      <c r="H425" s="95"/>
      <c r="I425" s="95"/>
      <c r="J425" s="96"/>
      <c r="K425" s="96"/>
      <c r="L425" s="91"/>
      <c r="M425" s="91"/>
      <c r="N425" s="91"/>
      <c r="O425" s="91"/>
      <c r="P425" s="91"/>
      <c r="Q425" s="91"/>
      <c r="R425" s="97">
        <f t="shared" si="139"/>
        <v>0</v>
      </c>
      <c r="S425" s="98">
        <v>0</v>
      </c>
      <c r="T425" s="97"/>
      <c r="U425" s="100">
        <f t="shared" si="148"/>
        <v>0</v>
      </c>
      <c r="V425" s="107">
        <f t="shared" si="149"/>
        <v>0</v>
      </c>
      <c r="W425" s="91"/>
      <c r="X425" s="122">
        <v>1</v>
      </c>
      <c r="Y425" s="206">
        <f t="shared" si="154"/>
        <v>0</v>
      </c>
      <c r="Z425" s="206">
        <f t="shared" si="155"/>
        <v>0</v>
      </c>
      <c r="AA425" s="206"/>
      <c r="AB425" s="206"/>
      <c r="AC425" s="206"/>
      <c r="AD425" s="206"/>
    </row>
    <row r="426" spans="1:30" ht="15" x14ac:dyDescent="0.2">
      <c r="A426" s="91"/>
      <c r="B426" s="103" t="s">
        <v>1144</v>
      </c>
      <c r="C426" s="154" t="s">
        <v>483</v>
      </c>
      <c r="D426" s="103" t="s">
        <v>5</v>
      </c>
      <c r="E426" s="104"/>
      <c r="F426" s="217"/>
      <c r="G426" s="206"/>
      <c r="H426" s="95"/>
      <c r="I426" s="95"/>
      <c r="J426" s="96"/>
      <c r="K426" s="96"/>
      <c r="L426" s="91"/>
      <c r="M426" s="91"/>
      <c r="N426" s="91"/>
      <c r="O426" s="91"/>
      <c r="P426" s="91"/>
      <c r="Q426" s="91"/>
      <c r="R426" s="97">
        <f t="shared" si="139"/>
        <v>0</v>
      </c>
      <c r="S426" s="98">
        <v>0</v>
      </c>
      <c r="T426" s="97"/>
      <c r="U426" s="100">
        <f t="shared" si="148"/>
        <v>0</v>
      </c>
      <c r="V426" s="107">
        <f t="shared" si="149"/>
        <v>0</v>
      </c>
      <c r="W426" s="91"/>
      <c r="X426" s="122">
        <v>8</v>
      </c>
      <c r="Y426" s="206">
        <f t="shared" si="154"/>
        <v>0</v>
      </c>
      <c r="Z426" s="206">
        <f t="shared" si="155"/>
        <v>0</v>
      </c>
      <c r="AA426" s="206"/>
      <c r="AB426" s="206"/>
      <c r="AC426" s="206"/>
      <c r="AD426" s="206"/>
    </row>
    <row r="427" spans="1:30" ht="30" x14ac:dyDescent="0.2">
      <c r="A427" s="91"/>
      <c r="B427" s="103" t="s">
        <v>1145</v>
      </c>
      <c r="C427" s="154" t="s">
        <v>484</v>
      </c>
      <c r="D427" s="103" t="s">
        <v>5</v>
      </c>
      <c r="E427" s="104"/>
      <c r="F427" s="217"/>
      <c r="G427" s="206"/>
      <c r="H427" s="95"/>
      <c r="I427" s="95"/>
      <c r="J427" s="96"/>
      <c r="K427" s="96"/>
      <c r="L427" s="91"/>
      <c r="M427" s="91"/>
      <c r="N427" s="91"/>
      <c r="O427" s="91"/>
      <c r="P427" s="91"/>
      <c r="Q427" s="91"/>
      <c r="R427" s="97">
        <f t="shared" si="139"/>
        <v>0</v>
      </c>
      <c r="S427" s="98">
        <v>0</v>
      </c>
      <c r="T427" s="97"/>
      <c r="U427" s="100">
        <f t="shared" si="148"/>
        <v>0</v>
      </c>
      <c r="V427" s="107">
        <f t="shared" si="149"/>
        <v>0</v>
      </c>
      <c r="W427" s="91"/>
      <c r="X427" s="122">
        <v>1</v>
      </c>
      <c r="Y427" s="206">
        <f t="shared" si="154"/>
        <v>0</v>
      </c>
      <c r="Z427" s="206">
        <f t="shared" si="155"/>
        <v>0</v>
      </c>
      <c r="AA427" s="206"/>
      <c r="AB427" s="206"/>
      <c r="AC427" s="206"/>
      <c r="AD427" s="206"/>
    </row>
    <row r="428" spans="1:30" ht="15" x14ac:dyDescent="0.2">
      <c r="A428" s="91"/>
      <c r="B428" s="103" t="s">
        <v>1146</v>
      </c>
      <c r="C428" s="154" t="s">
        <v>485</v>
      </c>
      <c r="D428" s="103" t="s">
        <v>5</v>
      </c>
      <c r="E428" s="104"/>
      <c r="F428" s="217"/>
      <c r="G428" s="206"/>
      <c r="H428" s="95"/>
      <c r="I428" s="95"/>
      <c r="J428" s="96"/>
      <c r="K428" s="96"/>
      <c r="L428" s="91"/>
      <c r="M428" s="91"/>
      <c r="N428" s="91"/>
      <c r="O428" s="91"/>
      <c r="P428" s="91"/>
      <c r="Q428" s="91"/>
      <c r="R428" s="97">
        <f t="shared" si="139"/>
        <v>0</v>
      </c>
      <c r="S428" s="98">
        <v>0</v>
      </c>
      <c r="T428" s="97"/>
      <c r="U428" s="100">
        <f t="shared" si="148"/>
        <v>0</v>
      </c>
      <c r="V428" s="107">
        <f t="shared" si="149"/>
        <v>0</v>
      </c>
      <c r="W428" s="91"/>
      <c r="X428" s="122">
        <v>2</v>
      </c>
      <c r="Y428" s="206">
        <f t="shared" si="154"/>
        <v>0</v>
      </c>
      <c r="Z428" s="206">
        <f t="shared" si="155"/>
        <v>0</v>
      </c>
      <c r="AA428" s="206"/>
      <c r="AB428" s="206"/>
      <c r="AC428" s="206"/>
      <c r="AD428" s="206"/>
    </row>
    <row r="429" spans="1:30" ht="15" x14ac:dyDescent="0.2">
      <c r="A429" s="91"/>
      <c r="B429" s="103" t="s">
        <v>1147</v>
      </c>
      <c r="C429" s="154" t="s">
        <v>486</v>
      </c>
      <c r="D429" s="103" t="s">
        <v>5</v>
      </c>
      <c r="E429" s="104"/>
      <c r="F429" s="217"/>
      <c r="G429" s="206"/>
      <c r="H429" s="95"/>
      <c r="I429" s="95"/>
      <c r="J429" s="96"/>
      <c r="K429" s="96"/>
      <c r="L429" s="91"/>
      <c r="M429" s="91"/>
      <c r="N429" s="91"/>
      <c r="O429" s="91"/>
      <c r="P429" s="91"/>
      <c r="Q429" s="91"/>
      <c r="R429" s="97">
        <f t="shared" si="139"/>
        <v>0</v>
      </c>
      <c r="S429" s="98">
        <v>0</v>
      </c>
      <c r="T429" s="97"/>
      <c r="U429" s="100">
        <f t="shared" si="148"/>
        <v>0</v>
      </c>
      <c r="V429" s="107">
        <f t="shared" si="149"/>
        <v>0</v>
      </c>
      <c r="W429" s="91"/>
      <c r="X429" s="122">
        <v>1</v>
      </c>
      <c r="Y429" s="206">
        <f t="shared" si="154"/>
        <v>0</v>
      </c>
      <c r="Z429" s="206">
        <f t="shared" si="155"/>
        <v>0</v>
      </c>
      <c r="AA429" s="206"/>
      <c r="AB429" s="206"/>
      <c r="AC429" s="206"/>
      <c r="AD429" s="206"/>
    </row>
    <row r="430" spans="1:30" x14ac:dyDescent="0.2">
      <c r="A430" s="91"/>
      <c r="B430" s="103"/>
      <c r="C430" s="102"/>
      <c r="D430" s="103"/>
      <c r="E430" s="102"/>
      <c r="F430" s="106"/>
      <c r="G430" s="108"/>
      <c r="H430" s="95"/>
      <c r="I430" s="95"/>
      <c r="J430" s="96"/>
      <c r="K430" s="96"/>
      <c r="L430" s="91"/>
      <c r="M430" s="91"/>
      <c r="N430" s="91"/>
      <c r="O430" s="91"/>
      <c r="P430" s="91"/>
      <c r="Q430" s="91"/>
      <c r="R430" s="97">
        <f t="shared" si="139"/>
        <v>0</v>
      </c>
      <c r="S430" s="98">
        <v>0</v>
      </c>
      <c r="T430" s="97"/>
      <c r="U430" s="100">
        <f t="shared" si="148"/>
        <v>0</v>
      </c>
      <c r="V430" s="107">
        <f t="shared" si="149"/>
        <v>0</v>
      </c>
      <c r="W430" s="91"/>
      <c r="X430" s="108"/>
      <c r="Y430" s="108"/>
      <c r="Z430" s="108"/>
      <c r="AA430" s="108"/>
      <c r="AB430" s="108"/>
      <c r="AC430" s="108"/>
      <c r="AD430" s="108"/>
    </row>
    <row r="431" spans="1:30" ht="16" customHeight="1" x14ac:dyDescent="0.2">
      <c r="A431" s="91"/>
      <c r="B431" s="92" t="s">
        <v>1148</v>
      </c>
      <c r="C431" s="93" t="s">
        <v>490</v>
      </c>
      <c r="D431" s="92"/>
      <c r="E431" s="93"/>
      <c r="F431" s="113"/>
      <c r="G431" s="113">
        <f>SUM(G432:G438)</f>
        <v>0</v>
      </c>
      <c r="H431" s="95"/>
      <c r="I431" s="95"/>
      <c r="J431" s="96"/>
      <c r="K431" s="96"/>
      <c r="L431" s="91"/>
      <c r="M431" s="91"/>
      <c r="N431" s="91"/>
      <c r="O431" s="91"/>
      <c r="P431" s="91"/>
      <c r="Q431" s="91"/>
      <c r="R431" s="97">
        <f t="shared" si="139"/>
        <v>0</v>
      </c>
      <c r="S431" s="98">
        <v>73383101.819999993</v>
      </c>
      <c r="T431" s="97"/>
      <c r="U431" s="100">
        <f t="shared" si="148"/>
        <v>0</v>
      </c>
      <c r="V431" s="107">
        <f t="shared" si="149"/>
        <v>0</v>
      </c>
      <c r="W431" s="91"/>
      <c r="X431" s="113"/>
      <c r="Y431" s="113"/>
      <c r="Z431" s="113">
        <f>SUM(Z432:Z438)</f>
        <v>56260377</v>
      </c>
      <c r="AA431" s="113"/>
      <c r="AB431" s="113"/>
      <c r="AC431" s="113"/>
      <c r="AD431" s="94">
        <f>G431+Z431+AC431</f>
        <v>56260377</v>
      </c>
    </row>
    <row r="432" spans="1:30" ht="90" x14ac:dyDescent="0.2">
      <c r="A432" s="91"/>
      <c r="B432" s="103" t="s">
        <v>1149</v>
      </c>
      <c r="C432" s="102" t="s">
        <v>999</v>
      </c>
      <c r="D432" s="103" t="s">
        <v>5</v>
      </c>
      <c r="E432" s="104"/>
      <c r="F432" s="106">
        <v>195100.11951219512</v>
      </c>
      <c r="G432" s="116">
        <f t="shared" ref="G432:G438" si="156">E432*F432</f>
        <v>0</v>
      </c>
      <c r="H432" s="95"/>
      <c r="I432" s="95"/>
      <c r="J432" s="96"/>
      <c r="K432" s="96"/>
      <c r="L432" s="91"/>
      <c r="M432" s="91"/>
      <c r="N432" s="91"/>
      <c r="O432" s="91"/>
      <c r="P432" s="91"/>
      <c r="Q432" s="91"/>
      <c r="R432" s="97">
        <f t="shared" si="139"/>
        <v>0</v>
      </c>
      <c r="S432" s="98">
        <v>21597583.229999997</v>
      </c>
      <c r="T432" s="97"/>
      <c r="U432" s="100">
        <f t="shared" si="148"/>
        <v>0</v>
      </c>
      <c r="V432" s="107">
        <f t="shared" si="149"/>
        <v>0</v>
      </c>
      <c r="W432" s="91"/>
      <c r="X432" s="122">
        <v>82</v>
      </c>
      <c r="Y432" s="144">
        <f t="shared" ref="Y432:Y438" si="157">(F432*3.5%)+F432</f>
        <v>201928.62369512193</v>
      </c>
      <c r="Z432" s="106">
        <f t="shared" ref="Z432:Z438" si="158">ROUND(X432*Y432,0)</f>
        <v>16558147</v>
      </c>
      <c r="AA432" s="116"/>
      <c r="AB432" s="116"/>
      <c r="AC432" s="116"/>
      <c r="AD432" s="108">
        <f t="shared" ref="AD432:AD438" si="159">G432+Z432+AC432</f>
        <v>16558147</v>
      </c>
    </row>
    <row r="433" spans="1:30" ht="15" x14ac:dyDescent="0.2">
      <c r="A433" s="91"/>
      <c r="B433" s="103" t="s">
        <v>1150</v>
      </c>
      <c r="C433" s="154" t="s">
        <v>491</v>
      </c>
      <c r="D433" s="103" t="s">
        <v>5</v>
      </c>
      <c r="E433" s="104"/>
      <c r="F433" s="106">
        <v>174442.4</v>
      </c>
      <c r="G433" s="116">
        <f t="shared" si="156"/>
        <v>0</v>
      </c>
      <c r="H433" s="95"/>
      <c r="I433" s="95"/>
      <c r="J433" s="96"/>
      <c r="K433" s="96"/>
      <c r="L433" s="91"/>
      <c r="M433" s="91"/>
      <c r="N433" s="91"/>
      <c r="O433" s="91"/>
      <c r="P433" s="91"/>
      <c r="Q433" s="91"/>
      <c r="R433" s="97">
        <f t="shared" si="139"/>
        <v>0</v>
      </c>
      <c r="S433" s="98">
        <v>15542817.84</v>
      </c>
      <c r="T433" s="97"/>
      <c r="U433" s="100">
        <f t="shared" si="148"/>
        <v>0</v>
      </c>
      <c r="V433" s="107">
        <f t="shared" si="149"/>
        <v>0</v>
      </c>
      <c r="W433" s="91"/>
      <c r="X433" s="122">
        <v>66</v>
      </c>
      <c r="Y433" s="144">
        <f t="shared" si="157"/>
        <v>180547.88399999999</v>
      </c>
      <c r="Z433" s="106">
        <f t="shared" si="158"/>
        <v>11916160</v>
      </c>
      <c r="AA433" s="116"/>
      <c r="AB433" s="116"/>
      <c r="AC433" s="116"/>
      <c r="AD433" s="108">
        <f t="shared" si="159"/>
        <v>11916160</v>
      </c>
    </row>
    <row r="434" spans="1:30" ht="15" x14ac:dyDescent="0.2">
      <c r="A434" s="91"/>
      <c r="B434" s="103" t="s">
        <v>1151</v>
      </c>
      <c r="C434" s="154" t="s">
        <v>492</v>
      </c>
      <c r="D434" s="103" t="s">
        <v>5</v>
      </c>
      <c r="E434" s="104"/>
      <c r="F434" s="106">
        <v>224442.4</v>
      </c>
      <c r="G434" s="116">
        <f t="shared" si="156"/>
        <v>0</v>
      </c>
      <c r="H434" s="95"/>
      <c r="I434" s="95"/>
      <c r="J434" s="96"/>
      <c r="K434" s="96"/>
      <c r="L434" s="91"/>
      <c r="M434" s="91"/>
      <c r="N434" s="91"/>
      <c r="O434" s="91"/>
      <c r="P434" s="91"/>
      <c r="Q434" s="91"/>
      <c r="R434" s="97">
        <f t="shared" si="139"/>
        <v>0</v>
      </c>
      <c r="S434" s="98">
        <v>19997817.840000004</v>
      </c>
      <c r="T434" s="97"/>
      <c r="U434" s="100">
        <f t="shared" si="148"/>
        <v>0</v>
      </c>
      <c r="V434" s="107">
        <f t="shared" si="149"/>
        <v>0</v>
      </c>
      <c r="W434" s="91"/>
      <c r="X434" s="122">
        <v>66</v>
      </c>
      <c r="Y434" s="144">
        <f t="shared" si="157"/>
        <v>232297.88399999999</v>
      </c>
      <c r="Z434" s="106">
        <f t="shared" si="158"/>
        <v>15331660</v>
      </c>
      <c r="AA434" s="116"/>
      <c r="AB434" s="116"/>
      <c r="AC434" s="116"/>
      <c r="AD434" s="108">
        <f t="shared" si="159"/>
        <v>15331660</v>
      </c>
    </row>
    <row r="435" spans="1:30" ht="15" x14ac:dyDescent="0.2">
      <c r="A435" s="91"/>
      <c r="B435" s="103" t="s">
        <v>1152</v>
      </c>
      <c r="C435" s="154" t="s">
        <v>493</v>
      </c>
      <c r="D435" s="103" t="s">
        <v>5</v>
      </c>
      <c r="E435" s="104"/>
      <c r="F435" s="106">
        <v>285242.40000000002</v>
      </c>
      <c r="G435" s="116">
        <f t="shared" si="156"/>
        <v>0</v>
      </c>
      <c r="H435" s="95"/>
      <c r="I435" s="95"/>
      <c r="J435" s="96"/>
      <c r="K435" s="96"/>
      <c r="L435" s="91"/>
      <c r="M435" s="91"/>
      <c r="N435" s="91"/>
      <c r="O435" s="91"/>
      <c r="P435" s="91"/>
      <c r="Q435" s="91"/>
      <c r="R435" s="97">
        <f t="shared" si="139"/>
        <v>0</v>
      </c>
      <c r="S435" s="98">
        <v>3080617.92</v>
      </c>
      <c r="T435" s="97"/>
      <c r="U435" s="100">
        <f t="shared" si="148"/>
        <v>0</v>
      </c>
      <c r="V435" s="107">
        <f t="shared" si="149"/>
        <v>0</v>
      </c>
      <c r="W435" s="91"/>
      <c r="X435" s="122">
        <v>8</v>
      </c>
      <c r="Y435" s="144">
        <f t="shared" si="157"/>
        <v>295225.88400000002</v>
      </c>
      <c r="Z435" s="106">
        <f t="shared" si="158"/>
        <v>2361807</v>
      </c>
      <c r="AA435" s="116"/>
      <c r="AB435" s="116"/>
      <c r="AC435" s="116"/>
      <c r="AD435" s="108">
        <f t="shared" si="159"/>
        <v>2361807</v>
      </c>
    </row>
    <row r="436" spans="1:30" ht="15" x14ac:dyDescent="0.2">
      <c r="A436" s="91"/>
      <c r="B436" s="103" t="s">
        <v>1153</v>
      </c>
      <c r="C436" s="154" t="s">
        <v>494</v>
      </c>
      <c r="D436" s="103" t="s">
        <v>5</v>
      </c>
      <c r="E436" s="104"/>
      <c r="F436" s="106">
        <v>385242.4</v>
      </c>
      <c r="G436" s="116">
        <f t="shared" si="156"/>
        <v>0</v>
      </c>
      <c r="H436" s="95"/>
      <c r="I436" s="95"/>
      <c r="J436" s="96"/>
      <c r="K436" s="96"/>
      <c r="L436" s="91"/>
      <c r="M436" s="91"/>
      <c r="N436" s="91"/>
      <c r="O436" s="91"/>
      <c r="P436" s="91"/>
      <c r="Q436" s="91"/>
      <c r="R436" s="97">
        <f t="shared" si="139"/>
        <v>0</v>
      </c>
      <c r="S436" s="98">
        <v>4160617.92</v>
      </c>
      <c r="T436" s="97"/>
      <c r="U436" s="100">
        <f t="shared" si="148"/>
        <v>0</v>
      </c>
      <c r="V436" s="107">
        <f t="shared" si="149"/>
        <v>0</v>
      </c>
      <c r="W436" s="91"/>
      <c r="X436" s="122">
        <v>8</v>
      </c>
      <c r="Y436" s="144">
        <f t="shared" si="157"/>
        <v>398725.88400000002</v>
      </c>
      <c r="Z436" s="106">
        <f t="shared" si="158"/>
        <v>3189807</v>
      </c>
      <c r="AA436" s="116"/>
      <c r="AB436" s="116"/>
      <c r="AC436" s="116"/>
      <c r="AD436" s="108">
        <f t="shared" si="159"/>
        <v>3189807</v>
      </c>
    </row>
    <row r="437" spans="1:30" ht="15" x14ac:dyDescent="0.2">
      <c r="A437" s="91"/>
      <c r="B437" s="103" t="s">
        <v>1154</v>
      </c>
      <c r="C437" s="154" t="s">
        <v>495</v>
      </c>
      <c r="D437" s="103" t="s">
        <v>5</v>
      </c>
      <c r="E437" s="104"/>
      <c r="F437" s="106">
        <v>6421265.4000000004</v>
      </c>
      <c r="G437" s="116">
        <f t="shared" si="156"/>
        <v>0</v>
      </c>
      <c r="H437" s="95"/>
      <c r="I437" s="95"/>
      <c r="J437" s="96"/>
      <c r="K437" s="96"/>
      <c r="L437" s="91"/>
      <c r="M437" s="91"/>
      <c r="N437" s="91"/>
      <c r="O437" s="91"/>
      <c r="P437" s="91"/>
      <c r="Q437" s="91"/>
      <c r="R437" s="97">
        <f t="shared" si="139"/>
        <v>0</v>
      </c>
      <c r="S437" s="98">
        <v>8668708.290000001</v>
      </c>
      <c r="T437" s="97"/>
      <c r="U437" s="100">
        <f t="shared" si="148"/>
        <v>0</v>
      </c>
      <c r="V437" s="107">
        <f t="shared" si="149"/>
        <v>0</v>
      </c>
      <c r="W437" s="91"/>
      <c r="X437" s="122">
        <v>1</v>
      </c>
      <c r="Y437" s="144">
        <f t="shared" si="157"/>
        <v>6646009.6890000002</v>
      </c>
      <c r="Z437" s="106">
        <f t="shared" si="158"/>
        <v>6646010</v>
      </c>
      <c r="AA437" s="116"/>
      <c r="AB437" s="116"/>
      <c r="AC437" s="116"/>
      <c r="AD437" s="108">
        <f t="shared" si="159"/>
        <v>6646010</v>
      </c>
    </row>
    <row r="438" spans="1:30" ht="15" x14ac:dyDescent="0.2">
      <c r="A438" s="91"/>
      <c r="B438" s="103" t="s">
        <v>1155</v>
      </c>
      <c r="C438" s="154" t="s">
        <v>496</v>
      </c>
      <c r="D438" s="103" t="s">
        <v>5</v>
      </c>
      <c r="E438" s="104"/>
      <c r="F438" s="106">
        <v>124051.4</v>
      </c>
      <c r="G438" s="116">
        <f t="shared" si="156"/>
        <v>0</v>
      </c>
      <c r="H438" s="95"/>
      <c r="I438" s="95"/>
      <c r="J438" s="96"/>
      <c r="K438" s="96"/>
      <c r="L438" s="91"/>
      <c r="M438" s="91"/>
      <c r="N438" s="91"/>
      <c r="O438" s="91"/>
      <c r="P438" s="91"/>
      <c r="Q438" s="91"/>
      <c r="R438" s="97">
        <f t="shared" si="139"/>
        <v>0</v>
      </c>
      <c r="S438" s="98">
        <v>334938.78000000003</v>
      </c>
      <c r="T438" s="97"/>
      <c r="U438" s="100">
        <f t="shared" si="148"/>
        <v>0</v>
      </c>
      <c r="V438" s="107">
        <f t="shared" si="149"/>
        <v>0</v>
      </c>
      <c r="W438" s="91"/>
      <c r="X438" s="122">
        <v>2</v>
      </c>
      <c r="Y438" s="144">
        <f t="shared" si="157"/>
        <v>128393.19899999999</v>
      </c>
      <c r="Z438" s="106">
        <f t="shared" si="158"/>
        <v>256786</v>
      </c>
      <c r="AA438" s="116"/>
      <c r="AB438" s="116"/>
      <c r="AC438" s="116"/>
      <c r="AD438" s="108">
        <f t="shared" si="159"/>
        <v>256786</v>
      </c>
    </row>
    <row r="439" spans="1:30" x14ac:dyDescent="0.2">
      <c r="A439" s="91"/>
      <c r="B439" s="103"/>
      <c r="C439" s="102"/>
      <c r="D439" s="103"/>
      <c r="E439" s="102"/>
      <c r="F439" s="106"/>
      <c r="G439" s="106"/>
      <c r="H439" s="95"/>
      <c r="I439" s="95"/>
      <c r="J439" s="96"/>
      <c r="K439" s="96"/>
      <c r="L439" s="91"/>
      <c r="M439" s="91"/>
      <c r="N439" s="91"/>
      <c r="O439" s="91"/>
      <c r="P439" s="91"/>
      <c r="Q439" s="91"/>
      <c r="R439" s="97">
        <f t="shared" si="139"/>
        <v>0</v>
      </c>
      <c r="S439" s="98">
        <v>0</v>
      </c>
      <c r="T439" s="97"/>
      <c r="U439" s="100">
        <f t="shared" si="148"/>
        <v>0</v>
      </c>
      <c r="V439" s="107">
        <f t="shared" si="149"/>
        <v>0</v>
      </c>
      <c r="W439" s="91"/>
      <c r="X439" s="106"/>
      <c r="Y439" s="106"/>
      <c r="Z439" s="106"/>
      <c r="AA439" s="106"/>
      <c r="AB439" s="106"/>
      <c r="AC439" s="106"/>
      <c r="AD439" s="106"/>
    </row>
    <row r="440" spans="1:30" ht="15" x14ac:dyDescent="0.2">
      <c r="A440" s="91"/>
      <c r="B440" s="92" t="s">
        <v>1156</v>
      </c>
      <c r="C440" s="93" t="s">
        <v>497</v>
      </c>
      <c r="D440" s="92"/>
      <c r="E440" s="93"/>
      <c r="F440" s="113"/>
      <c r="G440" s="113">
        <f>SUM(G441:G445)</f>
        <v>0</v>
      </c>
      <c r="H440" s="95"/>
      <c r="I440" s="95"/>
      <c r="J440" s="96"/>
      <c r="K440" s="96"/>
      <c r="L440" s="91"/>
      <c r="M440" s="91"/>
      <c r="N440" s="91"/>
      <c r="O440" s="91"/>
      <c r="P440" s="91"/>
      <c r="Q440" s="91"/>
      <c r="R440" s="97">
        <f t="shared" si="139"/>
        <v>0</v>
      </c>
      <c r="S440" s="98">
        <v>34550537.174999997</v>
      </c>
      <c r="T440" s="97"/>
      <c r="U440" s="100">
        <f t="shared" si="148"/>
        <v>0</v>
      </c>
      <c r="V440" s="107">
        <f t="shared" si="149"/>
        <v>0</v>
      </c>
      <c r="W440" s="91"/>
      <c r="X440" s="113"/>
      <c r="Y440" s="113"/>
      <c r="Z440" s="113">
        <f>SUM(Z441:Z445)</f>
        <v>26488745</v>
      </c>
      <c r="AA440" s="113"/>
      <c r="AB440" s="113"/>
      <c r="AC440" s="113"/>
      <c r="AD440" s="94">
        <f>G440+Z440+AC440</f>
        <v>26488745</v>
      </c>
    </row>
    <row r="441" spans="1:30" ht="45.75" customHeight="1" x14ac:dyDescent="0.2">
      <c r="A441" s="91"/>
      <c r="B441" s="103" t="s">
        <v>1157</v>
      </c>
      <c r="C441" s="102" t="s">
        <v>1000</v>
      </c>
      <c r="D441" s="103" t="s">
        <v>5</v>
      </c>
      <c r="E441" s="104"/>
      <c r="F441" s="106">
        <v>277280.4347826087</v>
      </c>
      <c r="G441" s="116">
        <f t="shared" ref="G441:G445" si="160">E441*F441</f>
        <v>0</v>
      </c>
      <c r="H441" s="95"/>
      <c r="I441" s="95"/>
      <c r="J441" s="96"/>
      <c r="K441" s="96"/>
      <c r="L441" s="91"/>
      <c r="M441" s="91"/>
      <c r="N441" s="91"/>
      <c r="O441" s="91"/>
      <c r="P441" s="91"/>
      <c r="Q441" s="91"/>
      <c r="R441" s="97">
        <f t="shared" ref="R441:R496" si="161">(G441*0.3)+G441+(G441*0.05)</f>
        <v>0</v>
      </c>
      <c r="S441" s="98">
        <v>8609557.5</v>
      </c>
      <c r="T441" s="97"/>
      <c r="U441" s="100">
        <f t="shared" si="148"/>
        <v>0</v>
      </c>
      <c r="V441" s="107">
        <f t="shared" si="149"/>
        <v>0</v>
      </c>
      <c r="W441" s="91"/>
      <c r="X441" s="153">
        <v>23</v>
      </c>
      <c r="Y441" s="144">
        <f t="shared" ref="Y441:Y445" si="162">(F441*3.5%)+F441</f>
        <v>286985.25</v>
      </c>
      <c r="Z441" s="106">
        <f t="shared" ref="Z441:Z445" si="163">ROUND(X441*Y441,0)</f>
        <v>6600661</v>
      </c>
      <c r="AA441" s="116"/>
      <c r="AB441" s="116"/>
      <c r="AC441" s="116"/>
      <c r="AD441" s="108">
        <f t="shared" ref="AD441:AD445" si="164">G441+Z441+AC441</f>
        <v>6600661</v>
      </c>
    </row>
    <row r="442" spans="1:30" ht="15" x14ac:dyDescent="0.2">
      <c r="A442" s="91"/>
      <c r="B442" s="103" t="s">
        <v>1158</v>
      </c>
      <c r="C442" s="102" t="s">
        <v>904</v>
      </c>
      <c r="D442" s="103" t="s">
        <v>11</v>
      </c>
      <c r="E442" s="104"/>
      <c r="F442" s="106">
        <v>11207.25</v>
      </c>
      <c r="G442" s="116">
        <f t="shared" si="160"/>
        <v>0</v>
      </c>
      <c r="H442" s="95"/>
      <c r="I442" s="95"/>
      <c r="J442" s="96"/>
      <c r="K442" s="96"/>
      <c r="L442" s="91"/>
      <c r="M442" s="91"/>
      <c r="N442" s="91"/>
      <c r="O442" s="91"/>
      <c r="P442" s="91"/>
      <c r="Q442" s="91"/>
      <c r="R442" s="97">
        <f t="shared" si="161"/>
        <v>0</v>
      </c>
      <c r="S442" s="98">
        <v>13843755.5625</v>
      </c>
      <c r="T442" s="97"/>
      <c r="U442" s="100">
        <f t="shared" si="148"/>
        <v>0</v>
      </c>
      <c r="V442" s="107">
        <f t="shared" si="149"/>
        <v>0</v>
      </c>
      <c r="W442" s="91"/>
      <c r="X442" s="153">
        <v>915</v>
      </c>
      <c r="Y442" s="144">
        <f t="shared" si="162"/>
        <v>11599.50375</v>
      </c>
      <c r="Z442" s="106">
        <f t="shared" si="163"/>
        <v>10613546</v>
      </c>
      <c r="AA442" s="116"/>
      <c r="AB442" s="116"/>
      <c r="AC442" s="116"/>
      <c r="AD442" s="108">
        <f t="shared" si="164"/>
        <v>10613546</v>
      </c>
    </row>
    <row r="443" spans="1:30" ht="15" x14ac:dyDescent="0.2">
      <c r="A443" s="91"/>
      <c r="B443" s="103" t="s">
        <v>1159</v>
      </c>
      <c r="C443" s="102" t="s">
        <v>498</v>
      </c>
      <c r="D443" s="103" t="s">
        <v>5</v>
      </c>
      <c r="E443" s="104"/>
      <c r="F443" s="106">
        <v>225907.95</v>
      </c>
      <c r="G443" s="116">
        <f t="shared" si="160"/>
        <v>0</v>
      </c>
      <c r="H443" s="95"/>
      <c r="I443" s="95"/>
      <c r="J443" s="96"/>
      <c r="K443" s="96"/>
      <c r="L443" s="91"/>
      <c r="M443" s="91"/>
      <c r="N443" s="91"/>
      <c r="O443" s="91"/>
      <c r="P443" s="91"/>
      <c r="Q443" s="91"/>
      <c r="R443" s="97">
        <f t="shared" si="161"/>
        <v>0</v>
      </c>
      <c r="S443" s="98">
        <v>7014441.8475000011</v>
      </c>
      <c r="T443" s="97"/>
      <c r="U443" s="100">
        <f t="shared" si="148"/>
        <v>0</v>
      </c>
      <c r="V443" s="107">
        <f t="shared" si="149"/>
        <v>0</v>
      </c>
      <c r="W443" s="91"/>
      <c r="X443" s="153">
        <v>23</v>
      </c>
      <c r="Y443" s="144">
        <f t="shared" si="162"/>
        <v>233814.72825000001</v>
      </c>
      <c r="Z443" s="106">
        <f t="shared" si="163"/>
        <v>5377739</v>
      </c>
      <c r="AA443" s="116"/>
      <c r="AB443" s="116"/>
      <c r="AC443" s="116"/>
      <c r="AD443" s="108">
        <f t="shared" si="164"/>
        <v>5377739</v>
      </c>
    </row>
    <row r="444" spans="1:30" ht="45.75" customHeight="1" x14ac:dyDescent="0.2">
      <c r="A444" s="91"/>
      <c r="B444" s="103" t="s">
        <v>1160</v>
      </c>
      <c r="C444" s="102" t="s">
        <v>499</v>
      </c>
      <c r="D444" s="103" t="s">
        <v>5</v>
      </c>
      <c r="E444" s="104"/>
      <c r="F444" s="106">
        <v>3103669.95</v>
      </c>
      <c r="G444" s="116">
        <f t="shared" si="160"/>
        <v>0</v>
      </c>
      <c r="H444" s="95"/>
      <c r="I444" s="95"/>
      <c r="J444" s="96"/>
      <c r="K444" s="96"/>
      <c r="L444" s="91"/>
      <c r="M444" s="91"/>
      <c r="N444" s="91"/>
      <c r="O444" s="91"/>
      <c r="P444" s="91"/>
      <c r="Q444" s="91"/>
      <c r="R444" s="97">
        <f t="shared" si="161"/>
        <v>0</v>
      </c>
      <c r="S444" s="98">
        <v>4189954.4325000001</v>
      </c>
      <c r="T444" s="97"/>
      <c r="U444" s="100">
        <f t="shared" si="148"/>
        <v>0</v>
      </c>
      <c r="V444" s="107">
        <f t="shared" si="149"/>
        <v>0</v>
      </c>
      <c r="W444" s="91"/>
      <c r="X444" s="153">
        <v>1</v>
      </c>
      <c r="Y444" s="144">
        <f t="shared" si="162"/>
        <v>3212298.3982500001</v>
      </c>
      <c r="Z444" s="106">
        <f t="shared" si="163"/>
        <v>3212298</v>
      </c>
      <c r="AA444" s="116"/>
      <c r="AB444" s="116"/>
      <c r="AC444" s="116"/>
      <c r="AD444" s="108">
        <f t="shared" si="164"/>
        <v>3212298</v>
      </c>
    </row>
    <row r="445" spans="1:30" ht="15" x14ac:dyDescent="0.2">
      <c r="A445" s="91"/>
      <c r="B445" s="103" t="s">
        <v>1161</v>
      </c>
      <c r="C445" s="102" t="s">
        <v>500</v>
      </c>
      <c r="D445" s="103" t="s">
        <v>5</v>
      </c>
      <c r="E445" s="104"/>
      <c r="F445" s="106">
        <v>661353.94999999995</v>
      </c>
      <c r="G445" s="116">
        <f t="shared" si="160"/>
        <v>0</v>
      </c>
      <c r="H445" s="95"/>
      <c r="I445" s="95"/>
      <c r="J445" s="96"/>
      <c r="K445" s="96"/>
      <c r="L445" s="91"/>
      <c r="M445" s="91"/>
      <c r="N445" s="91"/>
      <c r="O445" s="91"/>
      <c r="P445" s="91"/>
      <c r="Q445" s="91"/>
      <c r="R445" s="97">
        <f t="shared" si="161"/>
        <v>0</v>
      </c>
      <c r="S445" s="98">
        <v>892827.8324999999</v>
      </c>
      <c r="T445" s="97"/>
      <c r="U445" s="100">
        <f t="shared" si="148"/>
        <v>0</v>
      </c>
      <c r="V445" s="107">
        <f t="shared" si="149"/>
        <v>0</v>
      </c>
      <c r="W445" s="91"/>
      <c r="X445" s="153">
        <v>1</v>
      </c>
      <c r="Y445" s="144">
        <f t="shared" si="162"/>
        <v>684501.33824999991</v>
      </c>
      <c r="Z445" s="106">
        <f t="shared" si="163"/>
        <v>684501</v>
      </c>
      <c r="AA445" s="116"/>
      <c r="AB445" s="116"/>
      <c r="AC445" s="116"/>
      <c r="AD445" s="108">
        <f t="shared" si="164"/>
        <v>684501</v>
      </c>
    </row>
    <row r="446" spans="1:30" ht="15" x14ac:dyDescent="0.2">
      <c r="A446" s="91"/>
      <c r="B446" s="111" t="s">
        <v>1162</v>
      </c>
      <c r="C446" s="93" t="s">
        <v>487</v>
      </c>
      <c r="D446" s="125"/>
      <c r="E446" s="128"/>
      <c r="F446" s="128"/>
      <c r="G446" s="113">
        <f>SUM(G447:G465)</f>
        <v>0</v>
      </c>
      <c r="H446" s="95"/>
      <c r="I446" s="95"/>
      <c r="J446" s="96"/>
      <c r="K446" s="96"/>
      <c r="L446" s="91"/>
      <c r="M446" s="91"/>
      <c r="N446" s="91"/>
      <c r="O446" s="91"/>
      <c r="P446" s="91"/>
      <c r="Q446" s="91"/>
      <c r="R446" s="97">
        <f t="shared" si="161"/>
        <v>0</v>
      </c>
      <c r="S446" s="98">
        <v>374544980.81820011</v>
      </c>
      <c r="T446" s="97"/>
      <c r="U446" s="100">
        <f t="shared" si="148"/>
        <v>0</v>
      </c>
      <c r="V446" s="107"/>
      <c r="W446" s="91"/>
      <c r="X446" s="113"/>
      <c r="Y446" s="113"/>
      <c r="Z446" s="113">
        <f>SUM(Z447:Z465)</f>
        <v>287151153</v>
      </c>
      <c r="AA446" s="113"/>
      <c r="AB446" s="113"/>
      <c r="AC446" s="113"/>
      <c r="AD446" s="94">
        <f>G446+Z446+AC446</f>
        <v>287151153</v>
      </c>
    </row>
    <row r="447" spans="1:30" ht="60" x14ac:dyDescent="0.2">
      <c r="A447" s="91"/>
      <c r="B447" s="103" t="s">
        <v>1163</v>
      </c>
      <c r="C447" s="150" t="s">
        <v>925</v>
      </c>
      <c r="D447" s="103" t="s">
        <v>11</v>
      </c>
      <c r="E447" s="104"/>
      <c r="F447" s="106">
        <v>1648556.8200000005</v>
      </c>
      <c r="G447" s="106">
        <f t="shared" ref="G447:G465" si="165">F447*E447</f>
        <v>0</v>
      </c>
      <c r="H447" s="95"/>
      <c r="I447" s="95"/>
      <c r="J447" s="96"/>
      <c r="K447" s="96"/>
      <c r="L447" s="91"/>
      <c r="M447" s="91"/>
      <c r="N447" s="91"/>
      <c r="O447" s="91"/>
      <c r="P447" s="91"/>
      <c r="Q447" s="91"/>
      <c r="R447" s="97">
        <f t="shared" si="161"/>
        <v>0</v>
      </c>
      <c r="S447" s="98">
        <v>178044136.56000003</v>
      </c>
      <c r="T447" s="97"/>
      <c r="U447" s="100">
        <f t="shared" si="148"/>
        <v>0</v>
      </c>
      <c r="V447" s="107">
        <f t="shared" si="149"/>
        <v>0</v>
      </c>
      <c r="W447" s="91"/>
      <c r="X447" s="132">
        <v>80</v>
      </c>
      <c r="Y447" s="144">
        <f t="shared" ref="Y447:Y465" si="166">(F447*3.5%)+F447</f>
        <v>1706256.3087000006</v>
      </c>
      <c r="Z447" s="106">
        <f t="shared" ref="Z447:Z465" si="167">ROUND(X447*Y447,0)</f>
        <v>136500505</v>
      </c>
      <c r="AA447" s="106"/>
      <c r="AB447" s="106"/>
      <c r="AC447" s="106"/>
      <c r="AD447" s="108">
        <f t="shared" ref="AD447:AD465" si="168">G447+Z447+AC447</f>
        <v>136500505</v>
      </c>
    </row>
    <row r="448" spans="1:30" ht="60" x14ac:dyDescent="0.2">
      <c r="A448" s="91"/>
      <c r="B448" s="103" t="s">
        <v>1164</v>
      </c>
      <c r="C448" s="150" t="s">
        <v>926</v>
      </c>
      <c r="D448" s="103" t="s">
        <v>11</v>
      </c>
      <c r="E448" s="104"/>
      <c r="F448" s="106">
        <v>198378.85</v>
      </c>
      <c r="G448" s="106">
        <f t="shared" si="165"/>
        <v>0</v>
      </c>
      <c r="H448" s="95"/>
      <c r="I448" s="95"/>
      <c r="J448" s="96"/>
      <c r="K448" s="96"/>
      <c r="L448" s="91"/>
      <c r="M448" s="91"/>
      <c r="N448" s="91"/>
      <c r="O448" s="91"/>
      <c r="P448" s="91"/>
      <c r="Q448" s="91"/>
      <c r="R448" s="97">
        <f t="shared" si="161"/>
        <v>0</v>
      </c>
      <c r="S448" s="98">
        <v>4284983.16</v>
      </c>
      <c r="T448" s="97"/>
      <c r="U448" s="100">
        <f t="shared" si="148"/>
        <v>0</v>
      </c>
      <c r="V448" s="107">
        <f t="shared" si="149"/>
        <v>0</v>
      </c>
      <c r="W448" s="91"/>
      <c r="X448" s="132">
        <v>16</v>
      </c>
      <c r="Y448" s="144">
        <f t="shared" si="166"/>
        <v>205322.10975</v>
      </c>
      <c r="Z448" s="106">
        <f t="shared" si="167"/>
        <v>3285154</v>
      </c>
      <c r="AA448" s="106"/>
      <c r="AB448" s="106"/>
      <c r="AC448" s="106"/>
      <c r="AD448" s="108">
        <f t="shared" si="168"/>
        <v>3285154</v>
      </c>
    </row>
    <row r="449" spans="1:30" ht="60" x14ac:dyDescent="0.2">
      <c r="A449" s="91"/>
      <c r="B449" s="103" t="s">
        <v>1165</v>
      </c>
      <c r="C449" s="150" t="s">
        <v>927</v>
      </c>
      <c r="D449" s="103" t="s">
        <v>11</v>
      </c>
      <c r="E449" s="104"/>
      <c r="F449" s="106">
        <v>505510.47</v>
      </c>
      <c r="G449" s="106">
        <f t="shared" si="165"/>
        <v>0</v>
      </c>
      <c r="H449" s="95"/>
      <c r="I449" s="95"/>
      <c r="J449" s="96"/>
      <c r="K449" s="96"/>
      <c r="L449" s="91"/>
      <c r="M449" s="91"/>
      <c r="N449" s="91"/>
      <c r="O449" s="91"/>
      <c r="P449" s="91"/>
      <c r="Q449" s="91"/>
      <c r="R449" s="97">
        <f t="shared" si="161"/>
        <v>0</v>
      </c>
      <c r="S449" s="98">
        <v>38899030.666500002</v>
      </c>
      <c r="T449" s="97"/>
      <c r="U449" s="100">
        <f t="shared" si="148"/>
        <v>0</v>
      </c>
      <c r="V449" s="107">
        <f t="shared" si="149"/>
        <v>0</v>
      </c>
      <c r="W449" s="91"/>
      <c r="X449" s="132">
        <v>57</v>
      </c>
      <c r="Y449" s="144">
        <f t="shared" si="166"/>
        <v>523203.33644999994</v>
      </c>
      <c r="Z449" s="106">
        <f t="shared" si="167"/>
        <v>29822590</v>
      </c>
      <c r="AA449" s="106"/>
      <c r="AB449" s="106"/>
      <c r="AC449" s="106"/>
      <c r="AD449" s="108">
        <f t="shared" si="168"/>
        <v>29822590</v>
      </c>
    </row>
    <row r="450" spans="1:30" ht="60" x14ac:dyDescent="0.2">
      <c r="A450" s="91"/>
      <c r="B450" s="103" t="s">
        <v>1166</v>
      </c>
      <c r="C450" s="150" t="s">
        <v>1001</v>
      </c>
      <c r="D450" s="103" t="s">
        <v>11</v>
      </c>
      <c r="E450" s="104"/>
      <c r="F450" s="106">
        <v>167278.44999999998</v>
      </c>
      <c r="G450" s="106">
        <f t="shared" si="165"/>
        <v>0</v>
      </c>
      <c r="H450" s="95"/>
      <c r="I450" s="95"/>
      <c r="J450" s="96"/>
      <c r="K450" s="96"/>
      <c r="L450" s="91"/>
      <c r="M450" s="91"/>
      <c r="N450" s="91"/>
      <c r="O450" s="91"/>
      <c r="P450" s="91"/>
      <c r="Q450" s="91"/>
      <c r="R450" s="97">
        <f t="shared" si="161"/>
        <v>0</v>
      </c>
      <c r="S450" s="98">
        <v>7903906.7624999983</v>
      </c>
      <c r="T450" s="97"/>
      <c r="U450" s="100">
        <f t="shared" si="148"/>
        <v>0</v>
      </c>
      <c r="V450" s="107">
        <f t="shared" si="149"/>
        <v>0</v>
      </c>
      <c r="W450" s="91"/>
      <c r="X450" s="132">
        <v>35</v>
      </c>
      <c r="Y450" s="144">
        <f t="shared" si="166"/>
        <v>173133.19574999998</v>
      </c>
      <c r="Z450" s="106">
        <f t="shared" si="167"/>
        <v>6059662</v>
      </c>
      <c r="AA450" s="106"/>
      <c r="AB450" s="106"/>
      <c r="AC450" s="106"/>
      <c r="AD450" s="108">
        <f t="shared" si="168"/>
        <v>6059662</v>
      </c>
    </row>
    <row r="451" spans="1:30" ht="75" x14ac:dyDescent="0.2">
      <c r="A451" s="91"/>
      <c r="B451" s="103" t="s">
        <v>1167</v>
      </c>
      <c r="C451" s="150" t="s">
        <v>928</v>
      </c>
      <c r="D451" s="103" t="s">
        <v>11</v>
      </c>
      <c r="E451" s="104"/>
      <c r="F451" s="106">
        <v>635330.54999999993</v>
      </c>
      <c r="G451" s="106">
        <f t="shared" si="165"/>
        <v>0</v>
      </c>
      <c r="H451" s="95"/>
      <c r="I451" s="95"/>
      <c r="J451" s="96"/>
      <c r="K451" s="96"/>
      <c r="L451" s="91"/>
      <c r="M451" s="91"/>
      <c r="N451" s="91"/>
      <c r="O451" s="91"/>
      <c r="P451" s="91"/>
      <c r="Q451" s="91"/>
      <c r="R451" s="97">
        <f t="shared" si="161"/>
        <v>0</v>
      </c>
      <c r="S451" s="98">
        <v>17153924.849999998</v>
      </c>
      <c r="T451" s="97"/>
      <c r="U451" s="100">
        <f t="shared" si="148"/>
        <v>0</v>
      </c>
      <c r="V451" s="107">
        <f t="shared" si="149"/>
        <v>0</v>
      </c>
      <c r="W451" s="91"/>
      <c r="X451" s="132">
        <v>20</v>
      </c>
      <c r="Y451" s="144">
        <f t="shared" si="166"/>
        <v>657567.11924999999</v>
      </c>
      <c r="Z451" s="106">
        <f t="shared" si="167"/>
        <v>13151342</v>
      </c>
      <c r="AA451" s="106"/>
      <c r="AB451" s="106"/>
      <c r="AC451" s="106"/>
      <c r="AD451" s="108">
        <f t="shared" si="168"/>
        <v>13151342</v>
      </c>
    </row>
    <row r="452" spans="1:30" ht="45" x14ac:dyDescent="0.2">
      <c r="A452" s="91"/>
      <c r="B452" s="103" t="s">
        <v>1168</v>
      </c>
      <c r="C452" s="150" t="s">
        <v>929</v>
      </c>
      <c r="D452" s="103" t="s">
        <v>11</v>
      </c>
      <c r="E452" s="104"/>
      <c r="F452" s="106">
        <v>190763.11000000002</v>
      </c>
      <c r="G452" s="106">
        <f t="shared" si="165"/>
        <v>0</v>
      </c>
      <c r="H452" s="95"/>
      <c r="I452" s="95"/>
      <c r="J452" s="96"/>
      <c r="K452" s="96"/>
      <c r="L452" s="91"/>
      <c r="M452" s="91"/>
      <c r="N452" s="91"/>
      <c r="O452" s="91"/>
      <c r="P452" s="91"/>
      <c r="Q452" s="91"/>
      <c r="R452" s="97">
        <f t="shared" si="161"/>
        <v>0</v>
      </c>
      <c r="S452" s="98">
        <v>15451811.910000002</v>
      </c>
      <c r="T452" s="97"/>
      <c r="U452" s="100">
        <f t="shared" si="148"/>
        <v>0</v>
      </c>
      <c r="V452" s="107">
        <f t="shared" si="149"/>
        <v>0</v>
      </c>
      <c r="W452" s="91"/>
      <c r="X452" s="132">
        <v>60</v>
      </c>
      <c r="Y452" s="144">
        <f t="shared" si="166"/>
        <v>197439.81885000001</v>
      </c>
      <c r="Z452" s="106">
        <f t="shared" si="167"/>
        <v>11846389</v>
      </c>
      <c r="AA452" s="106"/>
      <c r="AB452" s="106"/>
      <c r="AC452" s="106"/>
      <c r="AD452" s="108">
        <f t="shared" si="168"/>
        <v>11846389</v>
      </c>
    </row>
    <row r="453" spans="1:30" ht="60" x14ac:dyDescent="0.2">
      <c r="A453" s="91"/>
      <c r="B453" s="103" t="s">
        <v>1169</v>
      </c>
      <c r="C453" s="150" t="s">
        <v>930</v>
      </c>
      <c r="D453" s="103" t="s">
        <v>11</v>
      </c>
      <c r="E453" s="104"/>
      <c r="F453" s="106">
        <v>221234.84999999998</v>
      </c>
      <c r="G453" s="106">
        <f t="shared" si="165"/>
        <v>0</v>
      </c>
      <c r="H453" s="95"/>
      <c r="I453" s="95"/>
      <c r="J453" s="96"/>
      <c r="K453" s="96"/>
      <c r="L453" s="91"/>
      <c r="M453" s="91"/>
      <c r="N453" s="91"/>
      <c r="O453" s="91"/>
      <c r="P453" s="91"/>
      <c r="Q453" s="91"/>
      <c r="R453" s="97">
        <f t="shared" si="161"/>
        <v>0</v>
      </c>
      <c r="S453" s="98">
        <v>3584004.57</v>
      </c>
      <c r="T453" s="97"/>
      <c r="U453" s="100">
        <f t="shared" si="148"/>
        <v>0</v>
      </c>
      <c r="V453" s="107">
        <f t="shared" si="149"/>
        <v>0</v>
      </c>
      <c r="W453" s="91"/>
      <c r="X453" s="132">
        <v>12</v>
      </c>
      <c r="Y453" s="144">
        <f t="shared" si="166"/>
        <v>228978.06974999997</v>
      </c>
      <c r="Z453" s="106">
        <f t="shared" si="167"/>
        <v>2747737</v>
      </c>
      <c r="AA453" s="106"/>
      <c r="AB453" s="106"/>
      <c r="AC453" s="106"/>
      <c r="AD453" s="108">
        <f t="shared" si="168"/>
        <v>2747737</v>
      </c>
    </row>
    <row r="454" spans="1:30" ht="30" x14ac:dyDescent="0.2">
      <c r="A454" s="91"/>
      <c r="B454" s="103" t="s">
        <v>1170</v>
      </c>
      <c r="C454" s="150" t="s">
        <v>931</v>
      </c>
      <c r="D454" s="103" t="s">
        <v>11</v>
      </c>
      <c r="E454" s="104"/>
      <c r="F454" s="106">
        <v>27751.298999999999</v>
      </c>
      <c r="G454" s="106">
        <f t="shared" si="165"/>
        <v>0</v>
      </c>
      <c r="H454" s="95"/>
      <c r="I454" s="95"/>
      <c r="J454" s="96"/>
      <c r="K454" s="96"/>
      <c r="L454" s="91"/>
      <c r="M454" s="91"/>
      <c r="N454" s="91"/>
      <c r="O454" s="91"/>
      <c r="P454" s="91"/>
      <c r="Q454" s="91"/>
      <c r="R454" s="97">
        <f t="shared" si="161"/>
        <v>0</v>
      </c>
      <c r="S454" s="98">
        <v>29971402.920000002</v>
      </c>
      <c r="T454" s="97"/>
      <c r="U454" s="100">
        <f t="shared" si="148"/>
        <v>0</v>
      </c>
      <c r="V454" s="107">
        <f t="shared" si="149"/>
        <v>0</v>
      </c>
      <c r="W454" s="91"/>
      <c r="X454" s="132">
        <v>800</v>
      </c>
      <c r="Y454" s="144">
        <f t="shared" si="166"/>
        <v>28722.594464999998</v>
      </c>
      <c r="Z454" s="106">
        <f t="shared" si="167"/>
        <v>22978076</v>
      </c>
      <c r="AA454" s="106"/>
      <c r="AB454" s="106"/>
      <c r="AC454" s="106"/>
      <c r="AD454" s="108">
        <f t="shared" si="168"/>
        <v>22978076</v>
      </c>
    </row>
    <row r="455" spans="1:30" ht="41.5" customHeight="1" x14ac:dyDescent="0.2">
      <c r="A455" s="91"/>
      <c r="B455" s="103" t="s">
        <v>1171</v>
      </c>
      <c r="C455" s="150" t="s">
        <v>932</v>
      </c>
      <c r="D455" s="103" t="s">
        <v>11</v>
      </c>
      <c r="E455" s="104"/>
      <c r="F455" s="106">
        <v>32572.894600000003</v>
      </c>
      <c r="G455" s="106">
        <f t="shared" si="165"/>
        <v>0</v>
      </c>
      <c r="H455" s="95"/>
      <c r="I455" s="95"/>
      <c r="J455" s="96"/>
      <c r="K455" s="96"/>
      <c r="L455" s="91"/>
      <c r="M455" s="91"/>
      <c r="N455" s="91"/>
      <c r="O455" s="91"/>
      <c r="P455" s="91"/>
      <c r="Q455" s="91"/>
      <c r="R455" s="97">
        <f t="shared" si="161"/>
        <v>0</v>
      </c>
      <c r="S455" s="98">
        <v>26384044.626000002</v>
      </c>
      <c r="T455" s="97"/>
      <c r="U455" s="100">
        <f t="shared" si="148"/>
        <v>0</v>
      </c>
      <c r="V455" s="107">
        <f t="shared" si="149"/>
        <v>0</v>
      </c>
      <c r="W455" s="91"/>
      <c r="X455" s="132">
        <v>600</v>
      </c>
      <c r="Y455" s="144">
        <f t="shared" si="166"/>
        <v>33712.945911000003</v>
      </c>
      <c r="Z455" s="106">
        <f t="shared" si="167"/>
        <v>20227768</v>
      </c>
      <c r="AA455" s="106"/>
      <c r="AB455" s="106"/>
      <c r="AC455" s="106"/>
      <c r="AD455" s="108">
        <f t="shared" si="168"/>
        <v>20227768</v>
      </c>
    </row>
    <row r="456" spans="1:30" ht="45" x14ac:dyDescent="0.2">
      <c r="A456" s="91"/>
      <c r="B456" s="103" t="s">
        <v>1172</v>
      </c>
      <c r="C456" s="150" t="s">
        <v>933</v>
      </c>
      <c r="D456" s="103" t="s">
        <v>11</v>
      </c>
      <c r="E456" s="104"/>
      <c r="F456" s="106">
        <v>203310.5</v>
      </c>
      <c r="G456" s="106">
        <f t="shared" si="165"/>
        <v>0</v>
      </c>
      <c r="H456" s="95"/>
      <c r="I456" s="95"/>
      <c r="J456" s="96"/>
      <c r="K456" s="96"/>
      <c r="L456" s="91"/>
      <c r="M456" s="91"/>
      <c r="N456" s="91"/>
      <c r="O456" s="91"/>
      <c r="P456" s="91"/>
      <c r="Q456" s="91"/>
      <c r="R456" s="97">
        <f t="shared" si="161"/>
        <v>0</v>
      </c>
      <c r="S456" s="98">
        <v>10978767</v>
      </c>
      <c r="T456" s="97"/>
      <c r="U456" s="100">
        <f t="shared" si="148"/>
        <v>0</v>
      </c>
      <c r="V456" s="107">
        <f t="shared" si="149"/>
        <v>0</v>
      </c>
      <c r="W456" s="91"/>
      <c r="X456" s="132">
        <v>40</v>
      </c>
      <c r="Y456" s="144">
        <f t="shared" si="166"/>
        <v>210426.36749999999</v>
      </c>
      <c r="Z456" s="106">
        <f t="shared" si="167"/>
        <v>8417055</v>
      </c>
      <c r="AA456" s="106"/>
      <c r="AB456" s="106"/>
      <c r="AC456" s="106"/>
      <c r="AD456" s="108">
        <f t="shared" si="168"/>
        <v>8417055</v>
      </c>
    </row>
    <row r="457" spans="1:30" ht="45" x14ac:dyDescent="0.2">
      <c r="A457" s="91"/>
      <c r="B457" s="103" t="s">
        <v>1173</v>
      </c>
      <c r="C457" s="150" t="s">
        <v>934</v>
      </c>
      <c r="D457" s="103" t="s">
        <v>11</v>
      </c>
      <c r="E457" s="104"/>
      <c r="F457" s="106">
        <v>133916.54500000001</v>
      </c>
      <c r="G457" s="106">
        <f t="shared" si="165"/>
        <v>0</v>
      </c>
      <c r="H457" s="95"/>
      <c r="I457" s="95"/>
      <c r="J457" s="96"/>
      <c r="K457" s="96"/>
      <c r="L457" s="91"/>
      <c r="M457" s="91"/>
      <c r="N457" s="91"/>
      <c r="O457" s="91"/>
      <c r="P457" s="91"/>
      <c r="Q457" s="91"/>
      <c r="R457" s="97">
        <f t="shared" si="161"/>
        <v>0</v>
      </c>
      <c r="S457" s="98">
        <v>6508344.0870000003</v>
      </c>
      <c r="T457" s="97"/>
      <c r="U457" s="100">
        <f t="shared" ref="U457:U512" si="169">+G457*$U$7</f>
        <v>0</v>
      </c>
      <c r="V457" s="107">
        <f t="shared" ref="V457:V512" si="170">+G457+U457</f>
        <v>0</v>
      </c>
      <c r="W457" s="91"/>
      <c r="X457" s="132">
        <v>36</v>
      </c>
      <c r="Y457" s="144">
        <f t="shared" si="166"/>
        <v>138603.624075</v>
      </c>
      <c r="Z457" s="106">
        <f t="shared" si="167"/>
        <v>4989730</v>
      </c>
      <c r="AA457" s="106"/>
      <c r="AB457" s="106"/>
      <c r="AC457" s="106"/>
      <c r="AD457" s="108">
        <f t="shared" si="168"/>
        <v>4989730</v>
      </c>
    </row>
    <row r="458" spans="1:30" ht="45" x14ac:dyDescent="0.2">
      <c r="A458" s="91"/>
      <c r="B458" s="103" t="s">
        <v>1174</v>
      </c>
      <c r="C458" s="150" t="s">
        <v>935</v>
      </c>
      <c r="D458" s="103" t="s">
        <v>11</v>
      </c>
      <c r="E458" s="104"/>
      <c r="F458" s="106">
        <v>134220.25200000001</v>
      </c>
      <c r="G458" s="106">
        <f t="shared" si="165"/>
        <v>0</v>
      </c>
      <c r="H458" s="95"/>
      <c r="I458" s="95"/>
      <c r="J458" s="96"/>
      <c r="K458" s="96"/>
      <c r="L458" s="91"/>
      <c r="M458" s="91"/>
      <c r="N458" s="91"/>
      <c r="O458" s="91"/>
      <c r="P458" s="91"/>
      <c r="Q458" s="91"/>
      <c r="R458" s="97">
        <f t="shared" si="161"/>
        <v>0</v>
      </c>
      <c r="S458" s="98">
        <v>6523104.2472000001</v>
      </c>
      <c r="T458" s="97"/>
      <c r="U458" s="100">
        <f t="shared" si="169"/>
        <v>0</v>
      </c>
      <c r="V458" s="107">
        <f t="shared" si="170"/>
        <v>0</v>
      </c>
      <c r="W458" s="91"/>
      <c r="X458" s="132">
        <v>36</v>
      </c>
      <c r="Y458" s="144">
        <f t="shared" si="166"/>
        <v>138917.96082000001</v>
      </c>
      <c r="Z458" s="106">
        <f t="shared" si="167"/>
        <v>5001047</v>
      </c>
      <c r="AA458" s="106"/>
      <c r="AB458" s="106"/>
      <c r="AC458" s="106"/>
      <c r="AD458" s="108">
        <f t="shared" si="168"/>
        <v>5001047</v>
      </c>
    </row>
    <row r="459" spans="1:30" ht="45" x14ac:dyDescent="0.2">
      <c r="A459" s="91"/>
      <c r="B459" s="103" t="s">
        <v>1175</v>
      </c>
      <c r="C459" s="150" t="s">
        <v>936</v>
      </c>
      <c r="D459" s="103" t="s">
        <v>11</v>
      </c>
      <c r="E459" s="104"/>
      <c r="F459" s="106">
        <v>209659.5</v>
      </c>
      <c r="G459" s="106">
        <f t="shared" si="165"/>
        <v>0</v>
      </c>
      <c r="H459" s="95"/>
      <c r="I459" s="95"/>
      <c r="J459" s="96"/>
      <c r="K459" s="96"/>
      <c r="L459" s="91"/>
      <c r="M459" s="91"/>
      <c r="N459" s="91"/>
      <c r="O459" s="91"/>
      <c r="P459" s="91"/>
      <c r="Q459" s="91"/>
      <c r="R459" s="97">
        <f t="shared" si="161"/>
        <v>0</v>
      </c>
      <c r="S459" s="98">
        <v>2830403.25</v>
      </c>
      <c r="T459" s="97"/>
      <c r="U459" s="100">
        <f t="shared" si="169"/>
        <v>0</v>
      </c>
      <c r="V459" s="107">
        <f t="shared" si="170"/>
        <v>0</v>
      </c>
      <c r="W459" s="91"/>
      <c r="X459" s="132">
        <v>10</v>
      </c>
      <c r="Y459" s="144">
        <f t="shared" si="166"/>
        <v>216997.58249999999</v>
      </c>
      <c r="Z459" s="106">
        <f t="shared" si="167"/>
        <v>2169976</v>
      </c>
      <c r="AA459" s="106"/>
      <c r="AB459" s="106"/>
      <c r="AC459" s="106"/>
      <c r="AD459" s="108">
        <f t="shared" si="168"/>
        <v>2169976</v>
      </c>
    </row>
    <row r="460" spans="1:30" ht="41.5" customHeight="1" x14ac:dyDescent="0.2">
      <c r="A460" s="91"/>
      <c r="B460" s="103" t="s">
        <v>1176</v>
      </c>
      <c r="C460" s="150" t="s">
        <v>937</v>
      </c>
      <c r="D460" s="103" t="s">
        <v>11</v>
      </c>
      <c r="E460" s="104"/>
      <c r="F460" s="106">
        <v>187371.5</v>
      </c>
      <c r="G460" s="106">
        <f t="shared" si="165"/>
        <v>0</v>
      </c>
      <c r="H460" s="95"/>
      <c r="I460" s="95"/>
      <c r="J460" s="96"/>
      <c r="K460" s="96"/>
      <c r="L460" s="91"/>
      <c r="M460" s="91"/>
      <c r="N460" s="91"/>
      <c r="O460" s="91"/>
      <c r="P460" s="91"/>
      <c r="Q460" s="91"/>
      <c r="R460" s="97">
        <f t="shared" si="161"/>
        <v>0</v>
      </c>
      <c r="S460" s="98">
        <v>2529515.25</v>
      </c>
      <c r="T460" s="97"/>
      <c r="U460" s="100">
        <f t="shared" si="169"/>
        <v>0</v>
      </c>
      <c r="V460" s="107">
        <f t="shared" si="170"/>
        <v>0</v>
      </c>
      <c r="W460" s="91"/>
      <c r="X460" s="132">
        <v>10</v>
      </c>
      <c r="Y460" s="144">
        <f t="shared" si="166"/>
        <v>193929.5025</v>
      </c>
      <c r="Z460" s="106">
        <f t="shared" si="167"/>
        <v>1939295</v>
      </c>
      <c r="AA460" s="106"/>
      <c r="AB460" s="106"/>
      <c r="AC460" s="106"/>
      <c r="AD460" s="108">
        <f t="shared" si="168"/>
        <v>1939295</v>
      </c>
    </row>
    <row r="461" spans="1:30" ht="30" x14ac:dyDescent="0.2">
      <c r="A461" s="91"/>
      <c r="B461" s="103" t="s">
        <v>1177</v>
      </c>
      <c r="C461" s="150" t="s">
        <v>938</v>
      </c>
      <c r="D461" s="103" t="s">
        <v>11</v>
      </c>
      <c r="E461" s="104"/>
      <c r="F461" s="106">
        <v>156694.15999999997</v>
      </c>
      <c r="G461" s="106">
        <f t="shared" si="165"/>
        <v>0</v>
      </c>
      <c r="H461" s="95"/>
      <c r="I461" s="95"/>
      <c r="J461" s="96"/>
      <c r="K461" s="96"/>
      <c r="L461" s="91"/>
      <c r="M461" s="91"/>
      <c r="N461" s="91"/>
      <c r="O461" s="91"/>
      <c r="P461" s="91"/>
      <c r="Q461" s="91"/>
      <c r="R461" s="97">
        <f t="shared" si="161"/>
        <v>0</v>
      </c>
      <c r="S461" s="98">
        <v>2749982.5079999994</v>
      </c>
      <c r="T461" s="97"/>
      <c r="U461" s="100">
        <f t="shared" si="169"/>
        <v>0</v>
      </c>
      <c r="V461" s="107">
        <f t="shared" si="170"/>
        <v>0</v>
      </c>
      <c r="W461" s="91"/>
      <c r="X461" s="132">
        <v>13</v>
      </c>
      <c r="Y461" s="144">
        <f t="shared" si="166"/>
        <v>162178.45559999999</v>
      </c>
      <c r="Z461" s="106">
        <f t="shared" si="167"/>
        <v>2108320</v>
      </c>
      <c r="AA461" s="106"/>
      <c r="AB461" s="106"/>
      <c r="AC461" s="106"/>
      <c r="AD461" s="108">
        <f t="shared" si="168"/>
        <v>2108320</v>
      </c>
    </row>
    <row r="462" spans="1:30" ht="45" x14ac:dyDescent="0.2">
      <c r="A462" s="91"/>
      <c r="B462" s="103" t="s">
        <v>1178</v>
      </c>
      <c r="C462" s="150" t="s">
        <v>939</v>
      </c>
      <c r="D462" s="103" t="s">
        <v>11</v>
      </c>
      <c r="E462" s="104"/>
      <c r="F462" s="106">
        <v>134768.20000000001</v>
      </c>
      <c r="G462" s="106">
        <f t="shared" si="165"/>
        <v>0</v>
      </c>
      <c r="H462" s="95"/>
      <c r="I462" s="95"/>
      <c r="J462" s="96"/>
      <c r="K462" s="96"/>
      <c r="L462" s="91"/>
      <c r="M462" s="91"/>
      <c r="N462" s="91"/>
      <c r="O462" s="91"/>
      <c r="P462" s="91"/>
      <c r="Q462" s="91"/>
      <c r="R462" s="97">
        <f t="shared" si="161"/>
        <v>0</v>
      </c>
      <c r="S462" s="98">
        <v>4548426.7500000009</v>
      </c>
      <c r="T462" s="97"/>
      <c r="U462" s="100">
        <f t="shared" si="169"/>
        <v>0</v>
      </c>
      <c r="V462" s="107">
        <f t="shared" si="170"/>
        <v>0</v>
      </c>
      <c r="W462" s="91"/>
      <c r="X462" s="132">
        <v>25</v>
      </c>
      <c r="Y462" s="144">
        <f t="shared" si="166"/>
        <v>139485.087</v>
      </c>
      <c r="Z462" s="106">
        <f t="shared" si="167"/>
        <v>3487127</v>
      </c>
      <c r="AA462" s="106"/>
      <c r="AB462" s="106"/>
      <c r="AC462" s="106"/>
      <c r="AD462" s="108">
        <f t="shared" si="168"/>
        <v>3487127</v>
      </c>
    </row>
    <row r="463" spans="1:30" ht="30" x14ac:dyDescent="0.2">
      <c r="A463" s="91"/>
      <c r="B463" s="103" t="s">
        <v>1179</v>
      </c>
      <c r="C463" s="150" t="s">
        <v>940</v>
      </c>
      <c r="D463" s="103" t="s">
        <v>11</v>
      </c>
      <c r="E463" s="104"/>
      <c r="F463" s="106">
        <v>228887.32000000007</v>
      </c>
      <c r="G463" s="106">
        <f t="shared" si="165"/>
        <v>0</v>
      </c>
      <c r="H463" s="95"/>
      <c r="I463" s="95"/>
      <c r="J463" s="96"/>
      <c r="K463" s="96"/>
      <c r="L463" s="91"/>
      <c r="M463" s="91"/>
      <c r="N463" s="91"/>
      <c r="O463" s="91"/>
      <c r="P463" s="91"/>
      <c r="Q463" s="91"/>
      <c r="R463" s="97">
        <f t="shared" si="161"/>
        <v>0</v>
      </c>
      <c r="S463" s="98">
        <v>4634968.2300000014</v>
      </c>
      <c r="T463" s="97"/>
      <c r="U463" s="100">
        <f t="shared" si="169"/>
        <v>0</v>
      </c>
      <c r="V463" s="107">
        <f t="shared" si="170"/>
        <v>0</v>
      </c>
      <c r="W463" s="91"/>
      <c r="X463" s="132">
        <v>15</v>
      </c>
      <c r="Y463" s="144">
        <f t="shared" si="166"/>
        <v>236898.37620000006</v>
      </c>
      <c r="Z463" s="106">
        <f t="shared" si="167"/>
        <v>3553476</v>
      </c>
      <c r="AA463" s="106"/>
      <c r="AB463" s="106"/>
      <c r="AC463" s="106"/>
      <c r="AD463" s="108">
        <f t="shared" si="168"/>
        <v>3553476</v>
      </c>
    </row>
    <row r="464" spans="1:30" ht="30" x14ac:dyDescent="0.2">
      <c r="A464" s="91"/>
      <c r="B464" s="103" t="s">
        <v>1180</v>
      </c>
      <c r="C464" s="150" t="s">
        <v>941</v>
      </c>
      <c r="D464" s="103" t="s">
        <v>11</v>
      </c>
      <c r="E464" s="104"/>
      <c r="F464" s="106">
        <v>237946.98499999999</v>
      </c>
      <c r="G464" s="106">
        <f t="shared" si="165"/>
        <v>0</v>
      </c>
      <c r="H464" s="95"/>
      <c r="I464" s="95"/>
      <c r="J464" s="96"/>
      <c r="K464" s="96"/>
      <c r="L464" s="91"/>
      <c r="M464" s="91"/>
      <c r="N464" s="91"/>
      <c r="O464" s="91"/>
      <c r="P464" s="91"/>
      <c r="Q464" s="91"/>
      <c r="R464" s="97">
        <f t="shared" si="161"/>
        <v>0</v>
      </c>
      <c r="S464" s="98">
        <v>5782111.7354999995</v>
      </c>
      <c r="T464" s="97"/>
      <c r="U464" s="100">
        <f t="shared" si="169"/>
        <v>0</v>
      </c>
      <c r="V464" s="107">
        <f t="shared" si="170"/>
        <v>0</v>
      </c>
      <c r="W464" s="91"/>
      <c r="X464" s="132">
        <v>18</v>
      </c>
      <c r="Y464" s="144">
        <f t="shared" si="166"/>
        <v>246275.12947499999</v>
      </c>
      <c r="Z464" s="106">
        <f t="shared" si="167"/>
        <v>4432952</v>
      </c>
      <c r="AA464" s="106"/>
      <c r="AB464" s="106"/>
      <c r="AC464" s="106"/>
      <c r="AD464" s="108">
        <f t="shared" si="168"/>
        <v>4432952</v>
      </c>
    </row>
    <row r="465" spans="1:30" ht="30" x14ac:dyDescent="0.2">
      <c r="A465" s="91"/>
      <c r="B465" s="103" t="s">
        <v>1181</v>
      </c>
      <c r="C465" s="150" t="s">
        <v>942</v>
      </c>
      <c r="D465" s="103" t="s">
        <v>11</v>
      </c>
      <c r="E465" s="104"/>
      <c r="F465" s="106">
        <v>237946.98499999999</v>
      </c>
      <c r="G465" s="106">
        <f t="shared" si="165"/>
        <v>0</v>
      </c>
      <c r="H465" s="95"/>
      <c r="I465" s="95"/>
      <c r="J465" s="96"/>
      <c r="K465" s="96"/>
      <c r="L465" s="91"/>
      <c r="M465" s="129" t="e">
        <f>#REF!*N465</f>
        <v>#REF!</v>
      </c>
      <c r="N465" s="155">
        <v>7.0000000000000007E-2</v>
      </c>
      <c r="O465" s="91"/>
      <c r="P465" s="91"/>
      <c r="Q465" s="91"/>
      <c r="R465" s="97">
        <f t="shared" si="161"/>
        <v>0</v>
      </c>
      <c r="S465" s="98">
        <v>5782111.7354999995</v>
      </c>
      <c r="T465" s="97"/>
      <c r="U465" s="100">
        <f t="shared" si="169"/>
        <v>0</v>
      </c>
      <c r="V465" s="107">
        <f t="shared" si="170"/>
        <v>0</v>
      </c>
      <c r="W465" s="91"/>
      <c r="X465" s="132">
        <v>18</v>
      </c>
      <c r="Y465" s="144">
        <f t="shared" si="166"/>
        <v>246275.12947499999</v>
      </c>
      <c r="Z465" s="106">
        <f t="shared" si="167"/>
        <v>4432952</v>
      </c>
      <c r="AA465" s="106"/>
      <c r="AB465" s="106"/>
      <c r="AC465" s="106"/>
      <c r="AD465" s="108">
        <f t="shared" si="168"/>
        <v>4432952</v>
      </c>
    </row>
    <row r="466" spans="1:30" x14ac:dyDescent="0.2">
      <c r="A466" s="91"/>
      <c r="B466" s="103"/>
      <c r="C466" s="207" t="s">
        <v>123</v>
      </c>
      <c r="D466" s="207"/>
      <c r="E466" s="207"/>
      <c r="F466" s="208"/>
      <c r="G466" s="123">
        <f>SUM(G370:G465)/2</f>
        <v>0</v>
      </c>
      <c r="H466" s="95"/>
      <c r="I466" s="95"/>
      <c r="J466" s="96"/>
      <c r="K466" s="96"/>
      <c r="L466" s="91"/>
      <c r="M466" s="129" t="e">
        <f>#REF!*N466</f>
        <v>#REF!</v>
      </c>
      <c r="N466" s="155">
        <v>0.04</v>
      </c>
      <c r="O466" s="91"/>
      <c r="P466" s="91"/>
      <c r="Q466" s="91"/>
      <c r="R466" s="121">
        <f t="shared" si="161"/>
        <v>0</v>
      </c>
      <c r="S466" s="98">
        <v>1286010801.6134009</v>
      </c>
      <c r="T466" s="97"/>
      <c r="U466" s="100">
        <f t="shared" si="169"/>
        <v>0</v>
      </c>
      <c r="V466" s="107"/>
      <c r="W466" s="91"/>
      <c r="X466" s="123"/>
      <c r="Y466" s="123"/>
      <c r="Z466" s="123">
        <f>SUM(Z370:Z465)/2</f>
        <v>977144112.1500001</v>
      </c>
      <c r="AA466" s="123"/>
      <c r="AB466" s="123"/>
      <c r="AC466" s="123"/>
      <c r="AD466" s="123">
        <f>SUM(AD370:AD465)/2</f>
        <v>977144112.1500001</v>
      </c>
    </row>
    <row r="467" spans="1:30" x14ac:dyDescent="0.2">
      <c r="A467" s="91"/>
      <c r="B467" s="103"/>
      <c r="C467" s="102"/>
      <c r="D467" s="103"/>
      <c r="E467" s="102"/>
      <c r="F467" s="102"/>
      <c r="G467" s="102"/>
      <c r="H467" s="95"/>
      <c r="I467" s="95"/>
      <c r="J467" s="96"/>
      <c r="K467" s="96"/>
      <c r="L467" s="91"/>
      <c r="M467" s="129" t="e">
        <f>#REF!*N467</f>
        <v>#REF!</v>
      </c>
      <c r="N467" s="155">
        <v>7.0000000000000007E-2</v>
      </c>
      <c r="O467" s="91"/>
      <c r="P467" s="91"/>
      <c r="Q467" s="91"/>
      <c r="R467" s="97">
        <f t="shared" si="161"/>
        <v>0</v>
      </c>
      <c r="S467" s="98">
        <v>0</v>
      </c>
      <c r="T467" s="97"/>
      <c r="U467" s="100">
        <f t="shared" si="169"/>
        <v>0</v>
      </c>
      <c r="V467" s="107">
        <f t="shared" si="170"/>
        <v>0</v>
      </c>
      <c r="W467" s="91"/>
      <c r="X467" s="91"/>
      <c r="Y467" s="91"/>
      <c r="Z467" s="91"/>
      <c r="AA467" s="91"/>
      <c r="AB467" s="91"/>
      <c r="AC467" s="91"/>
      <c r="AD467" s="91"/>
    </row>
    <row r="468" spans="1:30" ht="30" customHeight="1" x14ac:dyDescent="0.2">
      <c r="A468" s="91"/>
      <c r="B468" s="86">
        <v>16</v>
      </c>
      <c r="C468" s="209" t="s">
        <v>126</v>
      </c>
      <c r="D468" s="209"/>
      <c r="E468" s="209"/>
      <c r="F468" s="209"/>
      <c r="G468" s="124"/>
      <c r="H468" s="95"/>
      <c r="I468" s="95"/>
      <c r="J468" s="96"/>
      <c r="K468" s="96"/>
      <c r="L468" s="91"/>
      <c r="M468" s="129" t="e">
        <f>M467*N468</f>
        <v>#REF!</v>
      </c>
      <c r="N468" s="155">
        <v>0.19</v>
      </c>
      <c r="O468" s="91"/>
      <c r="P468" s="91"/>
      <c r="Q468" s="91"/>
      <c r="R468" s="97">
        <f t="shared" si="161"/>
        <v>0</v>
      </c>
      <c r="S468" s="98">
        <v>0</v>
      </c>
      <c r="T468" s="97"/>
      <c r="U468" s="100">
        <f t="shared" si="169"/>
        <v>0</v>
      </c>
      <c r="V468" s="107">
        <f t="shared" si="170"/>
        <v>0</v>
      </c>
      <c r="W468" s="91"/>
      <c r="X468" s="124"/>
      <c r="Y468" s="124"/>
      <c r="Z468" s="124"/>
      <c r="AA468" s="124"/>
      <c r="AB468" s="124"/>
      <c r="AC468" s="124"/>
      <c r="AD468" s="124"/>
    </row>
    <row r="469" spans="1:30" ht="15" x14ac:dyDescent="0.2">
      <c r="A469" s="91"/>
      <c r="B469" s="156" t="s">
        <v>788</v>
      </c>
      <c r="C469" s="93" t="s">
        <v>518</v>
      </c>
      <c r="D469" s="92"/>
      <c r="E469" s="93"/>
      <c r="F469" s="93"/>
      <c r="G469" s="113">
        <f>SUM(G470:G477)</f>
        <v>0</v>
      </c>
      <c r="H469" s="95"/>
      <c r="I469" s="95"/>
      <c r="J469" s="96"/>
      <c r="K469" s="96"/>
      <c r="L469" s="129" t="e">
        <f>#REF!+M469</f>
        <v>#REF!</v>
      </c>
      <c r="M469" s="95" t="e">
        <f>SUM(M465:M468)</f>
        <v>#REF!</v>
      </c>
      <c r="N469" s="91"/>
      <c r="O469" s="91"/>
      <c r="P469" s="91"/>
      <c r="Q469" s="91"/>
      <c r="R469" s="97">
        <f t="shared" si="161"/>
        <v>0</v>
      </c>
      <c r="S469" s="98">
        <v>421835300.54190016</v>
      </c>
      <c r="T469" s="97"/>
      <c r="U469" s="100">
        <f t="shared" si="169"/>
        <v>0</v>
      </c>
      <c r="V469" s="107">
        <f t="shared" si="170"/>
        <v>0</v>
      </c>
      <c r="W469" s="91"/>
      <c r="X469" s="113"/>
      <c r="Y469" s="113"/>
      <c r="Z469" s="113">
        <f>SUM(Z470:Z477)</f>
        <v>29757944</v>
      </c>
      <c r="AA469" s="113"/>
      <c r="AB469" s="113"/>
      <c r="AC469" s="113"/>
      <c r="AD469" s="94">
        <f>G469+Z469+AC469</f>
        <v>29757944</v>
      </c>
    </row>
    <row r="470" spans="1:30" ht="15" x14ac:dyDescent="0.2">
      <c r="A470" s="91"/>
      <c r="B470" s="103" t="s">
        <v>789</v>
      </c>
      <c r="C470" s="157" t="s">
        <v>505</v>
      </c>
      <c r="D470" s="158" t="s">
        <v>5</v>
      </c>
      <c r="E470" s="104"/>
      <c r="F470" s="48">
        <v>1714478.5482000001</v>
      </c>
      <c r="G470" s="115">
        <f t="shared" ref="G470:G482" si="171">F470*E470</f>
        <v>0</v>
      </c>
      <c r="H470" s="95">
        <v>1421188</v>
      </c>
      <c r="I470" s="95">
        <v>15566</v>
      </c>
      <c r="J470" s="96">
        <f t="shared" ref="J470:J494" si="172">H470+I470</f>
        <v>1436754</v>
      </c>
      <c r="K470" s="96">
        <f t="shared" ref="K470:K505" si="173">J470*E470</f>
        <v>0</v>
      </c>
      <c r="L470" s="129">
        <f t="shared" ref="L470:L505" si="174">(J470*0.07)+(J470*0.04)+(J470*0.07)+(J470*0.07)*0.19+J470</f>
        <v>1714478.5482000001</v>
      </c>
      <c r="M470" s="129">
        <f t="shared" ref="M470:M505" si="175">L470*E470</f>
        <v>0</v>
      </c>
      <c r="N470" s="91"/>
      <c r="O470" s="91"/>
      <c r="P470" s="91"/>
      <c r="Q470" s="91"/>
      <c r="R470" s="97">
        <f t="shared" si="161"/>
        <v>0</v>
      </c>
      <c r="S470" s="98">
        <v>4629092.0801400002</v>
      </c>
      <c r="T470" s="97"/>
      <c r="U470" s="100">
        <f t="shared" si="169"/>
        <v>0</v>
      </c>
      <c r="V470" s="107">
        <f t="shared" si="170"/>
        <v>0</v>
      </c>
      <c r="W470" s="91"/>
      <c r="X470" s="173">
        <v>2</v>
      </c>
      <c r="Y470" s="144">
        <f t="shared" ref="Y470:Y477" si="176">(F470*3.5%)+F470</f>
        <v>1774485.2973870002</v>
      </c>
      <c r="Z470" s="48">
        <f t="shared" ref="Z470:Z477" si="177">ROUND(X470*Y470,0)</f>
        <v>3548971</v>
      </c>
      <c r="AA470" s="115"/>
      <c r="AB470" s="115"/>
      <c r="AC470" s="115"/>
      <c r="AD470" s="108">
        <f t="shared" ref="AD470:AD505" si="178">G470+Z470+AC470</f>
        <v>3548971</v>
      </c>
    </row>
    <row r="471" spans="1:30" ht="15" x14ac:dyDescent="0.2">
      <c r="A471" s="91"/>
      <c r="B471" s="103" t="s">
        <v>790</v>
      </c>
      <c r="C471" s="157" t="s">
        <v>507</v>
      </c>
      <c r="D471" s="158" t="s">
        <v>5</v>
      </c>
      <c r="E471" s="104"/>
      <c r="F471" s="48">
        <v>5276413.4166999999</v>
      </c>
      <c r="G471" s="115">
        <f t="shared" si="171"/>
        <v>0</v>
      </c>
      <c r="H471" s="95">
        <v>3686648</v>
      </c>
      <c r="I471" s="95">
        <v>735051</v>
      </c>
      <c r="J471" s="96">
        <f t="shared" si="172"/>
        <v>4421699</v>
      </c>
      <c r="K471" s="96">
        <f t="shared" si="173"/>
        <v>0</v>
      </c>
      <c r="L471" s="129">
        <f t="shared" si="174"/>
        <v>5276413.4166999999</v>
      </c>
      <c r="M471" s="129">
        <f t="shared" si="175"/>
        <v>0</v>
      </c>
      <c r="N471" s="91"/>
      <c r="O471" s="91"/>
      <c r="P471" s="91"/>
      <c r="Q471" s="91"/>
      <c r="R471" s="97">
        <f t="shared" si="161"/>
        <v>0</v>
      </c>
      <c r="S471" s="98">
        <v>7123158.1125450004</v>
      </c>
      <c r="T471" s="97"/>
      <c r="U471" s="100">
        <f t="shared" si="169"/>
        <v>0</v>
      </c>
      <c r="V471" s="107">
        <f t="shared" si="170"/>
        <v>0</v>
      </c>
      <c r="W471" s="91"/>
      <c r="X471" s="173">
        <v>1</v>
      </c>
      <c r="Y471" s="144">
        <f t="shared" si="176"/>
        <v>5461087.8862845004</v>
      </c>
      <c r="Z471" s="48">
        <f t="shared" si="177"/>
        <v>5461088</v>
      </c>
      <c r="AA471" s="115"/>
      <c r="AB471" s="115"/>
      <c r="AC471" s="115"/>
      <c r="AD471" s="108">
        <f t="shared" si="178"/>
        <v>5461088</v>
      </c>
    </row>
    <row r="472" spans="1:30" ht="15" x14ac:dyDescent="0.2">
      <c r="A472" s="91"/>
      <c r="B472" s="103" t="s">
        <v>1182</v>
      </c>
      <c r="C472" s="157" t="s">
        <v>508</v>
      </c>
      <c r="D472" s="158" t="s">
        <v>5</v>
      </c>
      <c r="E472" s="104"/>
      <c r="F472" s="48">
        <v>1796877.1065</v>
      </c>
      <c r="G472" s="115">
        <f t="shared" si="171"/>
        <v>0</v>
      </c>
      <c r="H472" s="95">
        <v>770754</v>
      </c>
      <c r="I472" s="95">
        <v>735051</v>
      </c>
      <c r="J472" s="96">
        <f t="shared" si="172"/>
        <v>1505805</v>
      </c>
      <c r="K472" s="96">
        <f t="shared" si="173"/>
        <v>0</v>
      </c>
      <c r="L472" s="129">
        <f t="shared" si="174"/>
        <v>1796877.1065</v>
      </c>
      <c r="M472" s="129">
        <f t="shared" si="175"/>
        <v>0</v>
      </c>
      <c r="N472" s="91"/>
      <c r="O472" s="91"/>
      <c r="P472" s="91"/>
      <c r="Q472" s="91"/>
      <c r="R472" s="97">
        <f t="shared" si="161"/>
        <v>0</v>
      </c>
      <c r="S472" s="98">
        <v>2425784.093775</v>
      </c>
      <c r="T472" s="97"/>
      <c r="U472" s="100">
        <f t="shared" si="169"/>
        <v>0</v>
      </c>
      <c r="V472" s="107">
        <f t="shared" si="170"/>
        <v>0</v>
      </c>
      <c r="W472" s="91"/>
      <c r="X472" s="173">
        <v>1</v>
      </c>
      <c r="Y472" s="144">
        <f t="shared" si="176"/>
        <v>1859767.8052274999</v>
      </c>
      <c r="Z472" s="48">
        <f t="shared" si="177"/>
        <v>1859768</v>
      </c>
      <c r="AA472" s="115"/>
      <c r="AB472" s="115"/>
      <c r="AC472" s="115"/>
      <c r="AD472" s="108">
        <f t="shared" si="178"/>
        <v>1859768</v>
      </c>
    </row>
    <row r="473" spans="1:30" ht="15" x14ac:dyDescent="0.2">
      <c r="A473" s="91"/>
      <c r="B473" s="103" t="s">
        <v>1183</v>
      </c>
      <c r="C473" s="157" t="s">
        <v>513</v>
      </c>
      <c r="D473" s="158" t="s">
        <v>5</v>
      </c>
      <c r="E473" s="104"/>
      <c r="F473" s="48">
        <v>387882.16499999998</v>
      </c>
      <c r="G473" s="115">
        <f t="shared" si="171"/>
        <v>0</v>
      </c>
      <c r="H473" s="95">
        <v>309484</v>
      </c>
      <c r="I473" s="95">
        <v>15566</v>
      </c>
      <c r="J473" s="96">
        <f t="shared" si="172"/>
        <v>325050</v>
      </c>
      <c r="K473" s="96">
        <f t="shared" si="173"/>
        <v>0</v>
      </c>
      <c r="L473" s="129">
        <f t="shared" si="174"/>
        <v>387882.16499999998</v>
      </c>
      <c r="M473" s="129">
        <f t="shared" si="175"/>
        <v>0</v>
      </c>
      <c r="N473" s="91"/>
      <c r="O473" s="91"/>
      <c r="P473" s="91"/>
      <c r="Q473" s="91"/>
      <c r="R473" s="97">
        <f t="shared" si="161"/>
        <v>0</v>
      </c>
      <c r="S473" s="98">
        <v>2094563.6909999999</v>
      </c>
      <c r="T473" s="97"/>
      <c r="U473" s="100">
        <f t="shared" si="169"/>
        <v>0</v>
      </c>
      <c r="V473" s="107">
        <f t="shared" si="170"/>
        <v>0</v>
      </c>
      <c r="W473" s="91"/>
      <c r="X473" s="173">
        <v>4</v>
      </c>
      <c r="Y473" s="144">
        <f t="shared" si="176"/>
        <v>401458.040775</v>
      </c>
      <c r="Z473" s="48">
        <f t="shared" si="177"/>
        <v>1605832</v>
      </c>
      <c r="AA473" s="115"/>
      <c r="AB473" s="115"/>
      <c r="AC473" s="115"/>
      <c r="AD473" s="108">
        <f t="shared" si="178"/>
        <v>1605832</v>
      </c>
    </row>
    <row r="474" spans="1:30" ht="15" x14ac:dyDescent="0.2">
      <c r="A474" s="91"/>
      <c r="B474" s="103" t="s">
        <v>1184</v>
      </c>
      <c r="C474" s="157" t="s">
        <v>514</v>
      </c>
      <c r="D474" s="158" t="s">
        <v>5</v>
      </c>
      <c r="E474" s="104"/>
      <c r="F474" s="48">
        <v>262841.03120000003</v>
      </c>
      <c r="G474" s="115">
        <f t="shared" si="171"/>
        <v>0</v>
      </c>
      <c r="H474" s="95">
        <v>204698</v>
      </c>
      <c r="I474" s="95">
        <v>15566</v>
      </c>
      <c r="J474" s="96">
        <f t="shared" si="172"/>
        <v>220264</v>
      </c>
      <c r="K474" s="96">
        <f t="shared" si="173"/>
        <v>0</v>
      </c>
      <c r="L474" s="129">
        <f t="shared" si="174"/>
        <v>262841.03120000003</v>
      </c>
      <c r="M474" s="129">
        <f t="shared" si="175"/>
        <v>0</v>
      </c>
      <c r="N474" s="91"/>
      <c r="O474" s="91"/>
      <c r="P474" s="91"/>
      <c r="Q474" s="91"/>
      <c r="R474" s="97">
        <f t="shared" si="161"/>
        <v>0</v>
      </c>
      <c r="S474" s="98">
        <v>3903189.3133200007</v>
      </c>
      <c r="T474" s="97"/>
      <c r="U474" s="100">
        <f t="shared" si="169"/>
        <v>0</v>
      </c>
      <c r="V474" s="107">
        <f t="shared" si="170"/>
        <v>0</v>
      </c>
      <c r="W474" s="91"/>
      <c r="X474" s="173">
        <v>11</v>
      </c>
      <c r="Y474" s="144">
        <f t="shared" si="176"/>
        <v>272040.46729200002</v>
      </c>
      <c r="Z474" s="48">
        <f t="shared" si="177"/>
        <v>2992445</v>
      </c>
      <c r="AA474" s="115"/>
      <c r="AB474" s="115"/>
      <c r="AC474" s="115"/>
      <c r="AD474" s="108">
        <f t="shared" si="178"/>
        <v>2992445</v>
      </c>
    </row>
    <row r="475" spans="1:30" ht="15" x14ac:dyDescent="0.2">
      <c r="A475" s="91"/>
      <c r="B475" s="103" t="s">
        <v>1185</v>
      </c>
      <c r="C475" s="157" t="s">
        <v>515</v>
      </c>
      <c r="D475" s="158" t="s">
        <v>5</v>
      </c>
      <c r="E475" s="104"/>
      <c r="F475" s="48">
        <v>607664.15899999999</v>
      </c>
      <c r="G475" s="115">
        <f t="shared" si="171"/>
        <v>0</v>
      </c>
      <c r="H475" s="95">
        <v>493664</v>
      </c>
      <c r="I475" s="95">
        <v>15566</v>
      </c>
      <c r="J475" s="96">
        <f t="shared" si="172"/>
        <v>509230</v>
      </c>
      <c r="K475" s="96">
        <f t="shared" si="173"/>
        <v>0</v>
      </c>
      <c r="L475" s="129">
        <f t="shared" si="174"/>
        <v>607664.15899999999</v>
      </c>
      <c r="M475" s="129">
        <f t="shared" si="175"/>
        <v>0</v>
      </c>
      <c r="N475" s="91"/>
      <c r="O475" s="91"/>
      <c r="P475" s="91"/>
      <c r="Q475" s="91"/>
      <c r="R475" s="97">
        <f t="shared" si="161"/>
        <v>0</v>
      </c>
      <c r="S475" s="98">
        <v>1640693.2292999998</v>
      </c>
      <c r="T475" s="97"/>
      <c r="U475" s="100">
        <f t="shared" si="169"/>
        <v>0</v>
      </c>
      <c r="V475" s="107">
        <f t="shared" si="170"/>
        <v>0</v>
      </c>
      <c r="W475" s="91"/>
      <c r="X475" s="173">
        <v>2</v>
      </c>
      <c r="Y475" s="144">
        <f t="shared" si="176"/>
        <v>628932.40456499998</v>
      </c>
      <c r="Z475" s="48">
        <f t="shared" si="177"/>
        <v>1257865</v>
      </c>
      <c r="AA475" s="115"/>
      <c r="AB475" s="115"/>
      <c r="AC475" s="115"/>
      <c r="AD475" s="108">
        <f t="shared" si="178"/>
        <v>1257865</v>
      </c>
    </row>
    <row r="476" spans="1:30" ht="15" x14ac:dyDescent="0.2">
      <c r="A476" s="91"/>
      <c r="B476" s="103" t="s">
        <v>1186</v>
      </c>
      <c r="C476" s="157" t="s">
        <v>516</v>
      </c>
      <c r="D476" s="158" t="s">
        <v>5</v>
      </c>
      <c r="E476" s="104"/>
      <c r="F476" s="48">
        <v>5718655.1699000001</v>
      </c>
      <c r="G476" s="115">
        <f t="shared" si="171"/>
        <v>0</v>
      </c>
      <c r="H476" s="95">
        <v>4597731</v>
      </c>
      <c r="I476" s="95">
        <v>194572</v>
      </c>
      <c r="J476" s="96">
        <f t="shared" si="172"/>
        <v>4792303</v>
      </c>
      <c r="K476" s="96">
        <f t="shared" si="173"/>
        <v>0</v>
      </c>
      <c r="L476" s="129">
        <f t="shared" si="174"/>
        <v>5718655.1699000001</v>
      </c>
      <c r="M476" s="129">
        <f t="shared" si="175"/>
        <v>0</v>
      </c>
      <c r="N476" s="91"/>
      <c r="O476" s="91"/>
      <c r="P476" s="91"/>
      <c r="Q476" s="91"/>
      <c r="R476" s="97">
        <f t="shared" si="161"/>
        <v>0</v>
      </c>
      <c r="S476" s="98">
        <v>7720184.4793650005</v>
      </c>
      <c r="T476" s="97"/>
      <c r="U476" s="100">
        <f t="shared" si="169"/>
        <v>0</v>
      </c>
      <c r="V476" s="107">
        <f t="shared" si="170"/>
        <v>0</v>
      </c>
      <c r="W476" s="91"/>
      <c r="X476" s="173">
        <v>1</v>
      </c>
      <c r="Y476" s="144">
        <f t="shared" si="176"/>
        <v>5918808.1008465001</v>
      </c>
      <c r="Z476" s="48">
        <f t="shared" si="177"/>
        <v>5918808</v>
      </c>
      <c r="AA476" s="115"/>
      <c r="AB476" s="115"/>
      <c r="AC476" s="115"/>
      <c r="AD476" s="108">
        <f t="shared" si="178"/>
        <v>5918808</v>
      </c>
    </row>
    <row r="477" spans="1:30" ht="15" x14ac:dyDescent="0.2">
      <c r="A477" s="91"/>
      <c r="B477" s="103" t="s">
        <v>1187</v>
      </c>
      <c r="C477" s="157" t="s">
        <v>517</v>
      </c>
      <c r="D477" s="158" t="s">
        <v>522</v>
      </c>
      <c r="E477" s="104"/>
      <c r="F477" s="48">
        <v>859078.14939999999</v>
      </c>
      <c r="G477" s="115">
        <f t="shared" si="171"/>
        <v>0</v>
      </c>
      <c r="H477" s="95">
        <v>719918</v>
      </c>
      <c r="I477" s="95"/>
      <c r="J477" s="96">
        <f t="shared" si="172"/>
        <v>719918</v>
      </c>
      <c r="K477" s="96">
        <f t="shared" si="173"/>
        <v>0</v>
      </c>
      <c r="L477" s="129">
        <f t="shared" si="174"/>
        <v>859078.14939999999</v>
      </c>
      <c r="M477" s="129">
        <f t="shared" si="175"/>
        <v>0</v>
      </c>
      <c r="N477" s="91"/>
      <c r="O477" s="91"/>
      <c r="P477" s="91"/>
      <c r="Q477" s="91"/>
      <c r="R477" s="97">
        <f t="shared" si="161"/>
        <v>0</v>
      </c>
      <c r="S477" s="98">
        <v>9278044.0135199986</v>
      </c>
      <c r="T477" s="97"/>
      <c r="U477" s="100">
        <f t="shared" si="169"/>
        <v>0</v>
      </c>
      <c r="V477" s="107">
        <f t="shared" si="170"/>
        <v>0</v>
      </c>
      <c r="W477" s="91"/>
      <c r="X477" s="173">
        <v>8</v>
      </c>
      <c r="Y477" s="144">
        <f t="shared" si="176"/>
        <v>889145.88462899998</v>
      </c>
      <c r="Z477" s="48">
        <f t="shared" si="177"/>
        <v>7113167</v>
      </c>
      <c r="AA477" s="115"/>
      <c r="AB477" s="115"/>
      <c r="AC477" s="115"/>
      <c r="AD477" s="108">
        <f t="shared" si="178"/>
        <v>7113167</v>
      </c>
    </row>
    <row r="478" spans="1:30" ht="30" x14ac:dyDescent="0.2">
      <c r="A478" s="91"/>
      <c r="B478" s="156" t="s">
        <v>1192</v>
      </c>
      <c r="C478" s="93" t="s">
        <v>519</v>
      </c>
      <c r="D478" s="92"/>
      <c r="E478" s="93"/>
      <c r="F478" s="93"/>
      <c r="G478" s="113">
        <f>SUM(G479:G482)</f>
        <v>0</v>
      </c>
      <c r="H478" s="95"/>
      <c r="I478" s="95"/>
      <c r="J478" s="96"/>
      <c r="K478" s="96">
        <f t="shared" si="173"/>
        <v>0</v>
      </c>
      <c r="L478" s="129">
        <f t="shared" si="174"/>
        <v>0</v>
      </c>
      <c r="M478" s="129">
        <f t="shared" si="175"/>
        <v>0</v>
      </c>
      <c r="N478" s="91"/>
      <c r="O478" s="91"/>
      <c r="P478" s="91"/>
      <c r="Q478" s="91"/>
      <c r="R478" s="97">
        <f t="shared" si="161"/>
        <v>0</v>
      </c>
      <c r="S478" s="98">
        <v>73042776.220994994</v>
      </c>
      <c r="T478" s="97"/>
      <c r="U478" s="100">
        <f t="shared" si="169"/>
        <v>0</v>
      </c>
      <c r="V478" s="107">
        <f t="shared" si="170"/>
        <v>0</v>
      </c>
      <c r="W478" s="91"/>
      <c r="X478" s="113"/>
      <c r="Y478" s="113"/>
      <c r="Z478" s="113">
        <f>SUM(Z479:Z482)</f>
        <v>55999462</v>
      </c>
      <c r="AA478" s="113"/>
      <c r="AB478" s="113"/>
      <c r="AC478" s="113"/>
      <c r="AD478" s="94">
        <f>G478+Z478+AC478</f>
        <v>55999462</v>
      </c>
    </row>
    <row r="479" spans="1:30" ht="15" x14ac:dyDescent="0.2">
      <c r="A479" s="91"/>
      <c r="B479" s="103" t="s">
        <v>1188</v>
      </c>
      <c r="C479" s="102" t="s">
        <v>905</v>
      </c>
      <c r="D479" s="158" t="s">
        <v>8</v>
      </c>
      <c r="E479" s="104"/>
      <c r="F479" s="48">
        <v>108407.72510000001</v>
      </c>
      <c r="G479" s="115">
        <f t="shared" si="171"/>
        <v>0</v>
      </c>
      <c r="H479" s="95">
        <v>53230</v>
      </c>
      <c r="I479" s="95">
        <v>37617</v>
      </c>
      <c r="J479" s="96">
        <f t="shared" si="172"/>
        <v>90847</v>
      </c>
      <c r="K479" s="96">
        <f t="shared" si="173"/>
        <v>0</v>
      </c>
      <c r="L479" s="129">
        <f t="shared" si="174"/>
        <v>108407.72510000001</v>
      </c>
      <c r="M479" s="129">
        <f t="shared" si="175"/>
        <v>0</v>
      </c>
      <c r="N479" s="91"/>
      <c r="O479" s="91"/>
      <c r="P479" s="91"/>
      <c r="Q479" s="91"/>
      <c r="R479" s="97">
        <f t="shared" si="161"/>
        <v>0</v>
      </c>
      <c r="S479" s="98">
        <v>9512777.8775250018</v>
      </c>
      <c r="T479" s="97"/>
      <c r="U479" s="100">
        <f t="shared" si="169"/>
        <v>0</v>
      </c>
      <c r="V479" s="107">
        <f t="shared" si="170"/>
        <v>0</v>
      </c>
      <c r="W479" s="91"/>
      <c r="X479" s="159">
        <v>65</v>
      </c>
      <c r="Y479" s="144">
        <f t="shared" ref="Y479:Y482" si="179">(F479*3.5%)+F479</f>
        <v>112201.99547850002</v>
      </c>
      <c r="Z479" s="106">
        <f t="shared" ref="Z479:Z482" si="180">ROUND(X479*Y479,0)</f>
        <v>7293130</v>
      </c>
      <c r="AA479" s="115"/>
      <c r="AB479" s="115"/>
      <c r="AC479" s="115"/>
      <c r="AD479" s="108">
        <f t="shared" si="178"/>
        <v>7293130</v>
      </c>
    </row>
    <row r="480" spans="1:30" ht="15" x14ac:dyDescent="0.2">
      <c r="A480" s="91"/>
      <c r="B480" s="103" t="s">
        <v>1189</v>
      </c>
      <c r="C480" s="102" t="s">
        <v>906</v>
      </c>
      <c r="D480" s="158" t="s">
        <v>8</v>
      </c>
      <c r="E480" s="104"/>
      <c r="F480" s="48">
        <v>115776.3526</v>
      </c>
      <c r="G480" s="115">
        <f t="shared" si="171"/>
        <v>0</v>
      </c>
      <c r="H480" s="95">
        <v>59405</v>
      </c>
      <c r="I480" s="95">
        <v>37617</v>
      </c>
      <c r="J480" s="96">
        <f t="shared" si="172"/>
        <v>97022</v>
      </c>
      <c r="K480" s="96">
        <f t="shared" si="173"/>
        <v>0</v>
      </c>
      <c r="L480" s="129">
        <f t="shared" si="174"/>
        <v>115776.3526</v>
      </c>
      <c r="M480" s="129">
        <f t="shared" si="175"/>
        <v>0</v>
      </c>
      <c r="N480" s="91"/>
      <c r="O480" s="91"/>
      <c r="P480" s="91"/>
      <c r="Q480" s="91"/>
      <c r="R480" s="97">
        <f t="shared" si="161"/>
        <v>0</v>
      </c>
      <c r="S480" s="98">
        <v>44076057.434819996</v>
      </c>
      <c r="T480" s="97"/>
      <c r="U480" s="100">
        <f t="shared" si="169"/>
        <v>0</v>
      </c>
      <c r="V480" s="107">
        <f t="shared" si="170"/>
        <v>0</v>
      </c>
      <c r="W480" s="91"/>
      <c r="X480" s="159">
        <v>282</v>
      </c>
      <c r="Y480" s="144">
        <f t="shared" si="179"/>
        <v>119828.524941</v>
      </c>
      <c r="Z480" s="106">
        <f t="shared" si="180"/>
        <v>33791644</v>
      </c>
      <c r="AA480" s="115"/>
      <c r="AB480" s="115"/>
      <c r="AC480" s="115"/>
      <c r="AD480" s="108">
        <f t="shared" si="178"/>
        <v>33791644</v>
      </c>
    </row>
    <row r="481" spans="1:30" ht="15" x14ac:dyDescent="0.2">
      <c r="A481" s="91"/>
      <c r="B481" s="103" t="s">
        <v>1190</v>
      </c>
      <c r="C481" s="102" t="s">
        <v>907</v>
      </c>
      <c r="D481" s="158" t="s">
        <v>8</v>
      </c>
      <c r="E481" s="104"/>
      <c r="F481" s="48">
        <v>140050.46120000002</v>
      </c>
      <c r="G481" s="115">
        <f t="shared" si="171"/>
        <v>0</v>
      </c>
      <c r="H481" s="95">
        <v>79747</v>
      </c>
      <c r="I481" s="95">
        <v>37617</v>
      </c>
      <c r="J481" s="96">
        <f t="shared" si="172"/>
        <v>117364</v>
      </c>
      <c r="K481" s="96">
        <f t="shared" si="173"/>
        <v>0</v>
      </c>
      <c r="L481" s="129">
        <f t="shared" si="174"/>
        <v>140050.46120000002</v>
      </c>
      <c r="M481" s="129">
        <f t="shared" si="175"/>
        <v>0</v>
      </c>
      <c r="N481" s="91"/>
      <c r="O481" s="91"/>
      <c r="P481" s="91"/>
      <c r="Q481" s="91"/>
      <c r="R481" s="97">
        <f t="shared" si="161"/>
        <v>0</v>
      </c>
      <c r="S481" s="98">
        <v>3781362.4524000008</v>
      </c>
      <c r="T481" s="97"/>
      <c r="U481" s="100">
        <f t="shared" si="169"/>
        <v>0</v>
      </c>
      <c r="V481" s="107">
        <f t="shared" si="170"/>
        <v>0</v>
      </c>
      <c r="W481" s="91"/>
      <c r="X481" s="159">
        <v>20</v>
      </c>
      <c r="Y481" s="144">
        <f t="shared" si="179"/>
        <v>144952.22734200003</v>
      </c>
      <c r="Z481" s="106">
        <f t="shared" si="180"/>
        <v>2899045</v>
      </c>
      <c r="AA481" s="115"/>
      <c r="AB481" s="115"/>
      <c r="AC481" s="115"/>
      <c r="AD481" s="108">
        <f t="shared" si="178"/>
        <v>2899045</v>
      </c>
    </row>
    <row r="482" spans="1:30" ht="15" x14ac:dyDescent="0.2">
      <c r="A482" s="91"/>
      <c r="B482" s="103" t="s">
        <v>1191</v>
      </c>
      <c r="C482" s="102" t="s">
        <v>908</v>
      </c>
      <c r="D482" s="158" t="s">
        <v>8</v>
      </c>
      <c r="E482" s="104"/>
      <c r="F482" s="48">
        <v>46437.269500000002</v>
      </c>
      <c r="G482" s="115">
        <f t="shared" si="171"/>
        <v>0</v>
      </c>
      <c r="H482" s="95">
        <v>23349</v>
      </c>
      <c r="I482" s="95">
        <v>15566</v>
      </c>
      <c r="J482" s="96">
        <f t="shared" si="172"/>
        <v>38915</v>
      </c>
      <c r="K482" s="96">
        <f t="shared" si="173"/>
        <v>0</v>
      </c>
      <c r="L482" s="129">
        <f t="shared" si="174"/>
        <v>46437.269500000002</v>
      </c>
      <c r="M482" s="129">
        <f t="shared" si="175"/>
        <v>0</v>
      </c>
      <c r="N482" s="91"/>
      <c r="O482" s="91"/>
      <c r="P482" s="91"/>
      <c r="Q482" s="91"/>
      <c r="R482" s="97">
        <f t="shared" si="161"/>
        <v>0</v>
      </c>
      <c r="S482" s="98">
        <v>15672578.456250001</v>
      </c>
      <c r="T482" s="97"/>
      <c r="U482" s="100">
        <f t="shared" si="169"/>
        <v>0</v>
      </c>
      <c r="V482" s="107">
        <f t="shared" si="170"/>
        <v>0</v>
      </c>
      <c r="W482" s="91"/>
      <c r="X482" s="159">
        <v>250</v>
      </c>
      <c r="Y482" s="144">
        <f t="shared" si="179"/>
        <v>48062.573932500003</v>
      </c>
      <c r="Z482" s="106">
        <f t="shared" si="180"/>
        <v>12015643</v>
      </c>
      <c r="AA482" s="115"/>
      <c r="AB482" s="115"/>
      <c r="AC482" s="115"/>
      <c r="AD482" s="108">
        <f t="shared" si="178"/>
        <v>12015643</v>
      </c>
    </row>
    <row r="483" spans="1:30" ht="15" x14ac:dyDescent="0.2">
      <c r="A483" s="91"/>
      <c r="B483" s="156" t="s">
        <v>1193</v>
      </c>
      <c r="C483" s="93" t="s">
        <v>520</v>
      </c>
      <c r="D483" s="92"/>
      <c r="E483" s="160"/>
      <c r="F483" s="93"/>
      <c r="G483" s="113">
        <f>SUM(G484:G494)</f>
        <v>0</v>
      </c>
      <c r="H483" s="95"/>
      <c r="I483" s="95"/>
      <c r="J483" s="96"/>
      <c r="K483" s="96">
        <f t="shared" si="173"/>
        <v>0</v>
      </c>
      <c r="L483" s="129">
        <f t="shared" si="174"/>
        <v>0</v>
      </c>
      <c r="M483" s="129">
        <f t="shared" si="175"/>
        <v>0</v>
      </c>
      <c r="N483" s="91"/>
      <c r="O483" s="91"/>
      <c r="P483" s="91"/>
      <c r="Q483" s="91"/>
      <c r="R483" s="97">
        <f t="shared" si="161"/>
        <v>0</v>
      </c>
      <c r="S483" s="98">
        <v>11129340.611879999</v>
      </c>
      <c r="T483" s="97"/>
      <c r="U483" s="100">
        <f t="shared" si="169"/>
        <v>0</v>
      </c>
      <c r="V483" s="107">
        <f t="shared" si="170"/>
        <v>0</v>
      </c>
      <c r="W483" s="91"/>
      <c r="X483" s="113"/>
      <c r="Y483" s="113"/>
      <c r="Z483" s="113">
        <f>SUM(Z484:Z494)</f>
        <v>8532493</v>
      </c>
      <c r="AA483" s="113"/>
      <c r="AB483" s="113"/>
      <c r="AC483" s="113"/>
      <c r="AD483" s="94">
        <f>G483+Z483+AC483</f>
        <v>8532493</v>
      </c>
    </row>
    <row r="484" spans="1:30" ht="30" x14ac:dyDescent="0.2">
      <c r="A484" s="91"/>
      <c r="B484" s="103" t="s">
        <v>1194</v>
      </c>
      <c r="C484" s="102" t="s">
        <v>909</v>
      </c>
      <c r="D484" s="158" t="s">
        <v>5</v>
      </c>
      <c r="E484" s="104"/>
      <c r="F484" s="48">
        <v>518015.10990000004</v>
      </c>
      <c r="G484" s="115">
        <f t="shared" ref="G484:G494" si="181">F484*E484</f>
        <v>0</v>
      </c>
      <c r="H484" s="95">
        <v>418537</v>
      </c>
      <c r="I484" s="95">
        <v>15566</v>
      </c>
      <c r="J484" s="96">
        <f t="shared" si="172"/>
        <v>434103</v>
      </c>
      <c r="K484" s="96">
        <f t="shared" si="173"/>
        <v>0</v>
      </c>
      <c r="L484" s="129">
        <f t="shared" si="174"/>
        <v>518015.10990000004</v>
      </c>
      <c r="M484" s="129">
        <f t="shared" si="175"/>
        <v>0</v>
      </c>
      <c r="N484" s="91"/>
      <c r="O484" s="91"/>
      <c r="P484" s="91"/>
      <c r="Q484" s="91"/>
      <c r="R484" s="97">
        <f t="shared" si="161"/>
        <v>0</v>
      </c>
      <c r="S484" s="98">
        <v>2797281.5934600006</v>
      </c>
      <c r="T484" s="97"/>
      <c r="U484" s="100">
        <f t="shared" si="169"/>
        <v>0</v>
      </c>
      <c r="V484" s="107">
        <f t="shared" si="170"/>
        <v>0</v>
      </c>
      <c r="W484" s="91"/>
      <c r="X484" s="159">
        <v>4</v>
      </c>
      <c r="Y484" s="144">
        <f t="shared" ref="Y484:Y494" si="182">(F484*3.5%)+F484</f>
        <v>536145.63874650002</v>
      </c>
      <c r="Z484" s="106">
        <f t="shared" ref="Z484:Z494" si="183">ROUND(X484*Y484,0)</f>
        <v>2144583</v>
      </c>
      <c r="AA484" s="115"/>
      <c r="AB484" s="115"/>
      <c r="AC484" s="115"/>
      <c r="AD484" s="108">
        <f t="shared" si="178"/>
        <v>2144583</v>
      </c>
    </row>
    <row r="485" spans="1:30" ht="30" x14ac:dyDescent="0.2">
      <c r="A485" s="91"/>
      <c r="B485" s="103" t="s">
        <v>1195</v>
      </c>
      <c r="C485" s="102" t="s">
        <v>910</v>
      </c>
      <c r="D485" s="158" t="s">
        <v>5</v>
      </c>
      <c r="E485" s="104"/>
      <c r="F485" s="48">
        <v>467820.13870000001</v>
      </c>
      <c r="G485" s="115">
        <f t="shared" si="181"/>
        <v>0</v>
      </c>
      <c r="H485" s="95">
        <v>376473</v>
      </c>
      <c r="I485" s="95">
        <v>15566</v>
      </c>
      <c r="J485" s="96">
        <f t="shared" si="172"/>
        <v>392039</v>
      </c>
      <c r="K485" s="96">
        <f t="shared" si="173"/>
        <v>0</v>
      </c>
      <c r="L485" s="129">
        <f t="shared" si="174"/>
        <v>467820.13870000001</v>
      </c>
      <c r="M485" s="129">
        <f t="shared" si="175"/>
        <v>0</v>
      </c>
      <c r="N485" s="91"/>
      <c r="O485" s="91"/>
      <c r="P485" s="91"/>
      <c r="Q485" s="91"/>
      <c r="R485" s="97">
        <f t="shared" si="161"/>
        <v>0</v>
      </c>
      <c r="S485" s="98">
        <v>631557.18724499992</v>
      </c>
      <c r="T485" s="97"/>
      <c r="U485" s="100">
        <f t="shared" si="169"/>
        <v>0</v>
      </c>
      <c r="V485" s="107">
        <f t="shared" si="170"/>
        <v>0</v>
      </c>
      <c r="W485" s="91"/>
      <c r="X485" s="159">
        <v>1</v>
      </c>
      <c r="Y485" s="144">
        <f t="shared" si="182"/>
        <v>484193.84355450002</v>
      </c>
      <c r="Z485" s="106">
        <f t="shared" si="183"/>
        <v>484194</v>
      </c>
      <c r="AA485" s="115"/>
      <c r="AB485" s="115"/>
      <c r="AC485" s="115"/>
      <c r="AD485" s="108">
        <f t="shared" si="178"/>
        <v>484194</v>
      </c>
    </row>
    <row r="486" spans="1:30" ht="30" x14ac:dyDescent="0.2">
      <c r="A486" s="91"/>
      <c r="B486" s="103" t="s">
        <v>1196</v>
      </c>
      <c r="C486" s="102" t="s">
        <v>911</v>
      </c>
      <c r="D486" s="158" t="s">
        <v>5</v>
      </c>
      <c r="E486" s="104"/>
      <c r="F486" s="48">
        <v>241942.7683</v>
      </c>
      <c r="G486" s="115">
        <f t="shared" si="181"/>
        <v>0</v>
      </c>
      <c r="H486" s="95">
        <v>187185</v>
      </c>
      <c r="I486" s="95">
        <v>15566</v>
      </c>
      <c r="J486" s="96">
        <f t="shared" si="172"/>
        <v>202751</v>
      </c>
      <c r="K486" s="96">
        <f t="shared" si="173"/>
        <v>0</v>
      </c>
      <c r="L486" s="129">
        <f t="shared" si="174"/>
        <v>241942.7683</v>
      </c>
      <c r="M486" s="129">
        <f t="shared" si="175"/>
        <v>0</v>
      </c>
      <c r="N486" s="91"/>
      <c r="O486" s="91"/>
      <c r="P486" s="91"/>
      <c r="Q486" s="91"/>
      <c r="R486" s="97">
        <f t="shared" si="161"/>
        <v>0</v>
      </c>
      <c r="S486" s="98">
        <v>979868.21161500004</v>
      </c>
      <c r="T486" s="97"/>
      <c r="U486" s="100">
        <f t="shared" si="169"/>
        <v>0</v>
      </c>
      <c r="V486" s="107">
        <f t="shared" si="170"/>
        <v>0</v>
      </c>
      <c r="W486" s="91"/>
      <c r="X486" s="159">
        <v>3</v>
      </c>
      <c r="Y486" s="144">
        <f t="shared" si="182"/>
        <v>250410.76519050001</v>
      </c>
      <c r="Z486" s="106">
        <f t="shared" si="183"/>
        <v>751232</v>
      </c>
      <c r="AA486" s="115"/>
      <c r="AB486" s="115"/>
      <c r="AC486" s="115"/>
      <c r="AD486" s="108">
        <f t="shared" si="178"/>
        <v>751232</v>
      </c>
    </row>
    <row r="487" spans="1:30" ht="30" x14ac:dyDescent="0.2">
      <c r="A487" s="91"/>
      <c r="B487" s="103" t="s">
        <v>1197</v>
      </c>
      <c r="C487" s="102" t="s">
        <v>912</v>
      </c>
      <c r="D487" s="158" t="s">
        <v>5</v>
      </c>
      <c r="E487" s="104"/>
      <c r="F487" s="48">
        <v>312613.57420000003</v>
      </c>
      <c r="G487" s="115">
        <f t="shared" si="181"/>
        <v>0</v>
      </c>
      <c r="H487" s="95">
        <v>246408</v>
      </c>
      <c r="I487" s="95">
        <v>15566</v>
      </c>
      <c r="J487" s="96">
        <f t="shared" si="172"/>
        <v>261974</v>
      </c>
      <c r="K487" s="96">
        <f t="shared" si="173"/>
        <v>0</v>
      </c>
      <c r="L487" s="129">
        <f t="shared" si="174"/>
        <v>312613.57420000003</v>
      </c>
      <c r="M487" s="129">
        <f t="shared" si="175"/>
        <v>0</v>
      </c>
      <c r="N487" s="91"/>
      <c r="O487" s="91"/>
      <c r="P487" s="91"/>
      <c r="Q487" s="91"/>
      <c r="R487" s="97">
        <f t="shared" si="161"/>
        <v>0</v>
      </c>
      <c r="S487" s="98">
        <v>1688113.3006800001</v>
      </c>
      <c r="T487" s="97"/>
      <c r="U487" s="100">
        <f t="shared" si="169"/>
        <v>0</v>
      </c>
      <c r="V487" s="107">
        <f t="shared" si="170"/>
        <v>0</v>
      </c>
      <c r="W487" s="91"/>
      <c r="X487" s="159">
        <v>4</v>
      </c>
      <c r="Y487" s="144">
        <f t="shared" si="182"/>
        <v>323555.04929700005</v>
      </c>
      <c r="Z487" s="106">
        <f t="shared" si="183"/>
        <v>1294220</v>
      </c>
      <c r="AA487" s="115"/>
      <c r="AB487" s="115"/>
      <c r="AC487" s="115"/>
      <c r="AD487" s="108">
        <f t="shared" si="178"/>
        <v>1294220</v>
      </c>
    </row>
    <row r="488" spans="1:30" ht="30" x14ac:dyDescent="0.2">
      <c r="A488" s="91"/>
      <c r="B488" s="103" t="s">
        <v>1198</v>
      </c>
      <c r="C488" s="102" t="s">
        <v>913</v>
      </c>
      <c r="D488" s="158" t="s">
        <v>5</v>
      </c>
      <c r="E488" s="104"/>
      <c r="F488" s="48">
        <v>214600.68540000002</v>
      </c>
      <c r="G488" s="115">
        <f t="shared" si="181"/>
        <v>0</v>
      </c>
      <c r="H488" s="95">
        <v>164272</v>
      </c>
      <c r="I488" s="95">
        <v>15566</v>
      </c>
      <c r="J488" s="96">
        <f t="shared" si="172"/>
        <v>179838</v>
      </c>
      <c r="K488" s="96">
        <f t="shared" si="173"/>
        <v>0</v>
      </c>
      <c r="L488" s="129">
        <f t="shared" si="174"/>
        <v>214600.68540000002</v>
      </c>
      <c r="M488" s="129">
        <f t="shared" si="175"/>
        <v>0</v>
      </c>
      <c r="N488" s="91"/>
      <c r="O488" s="91"/>
      <c r="P488" s="91"/>
      <c r="Q488" s="91"/>
      <c r="R488" s="97">
        <f t="shared" si="161"/>
        <v>0</v>
      </c>
      <c r="S488" s="98">
        <v>289710.92529000004</v>
      </c>
      <c r="T488" s="97"/>
      <c r="U488" s="100">
        <f t="shared" si="169"/>
        <v>0</v>
      </c>
      <c r="V488" s="107">
        <f t="shared" si="170"/>
        <v>0</v>
      </c>
      <c r="W488" s="91"/>
      <c r="X488" s="159">
        <v>1</v>
      </c>
      <c r="Y488" s="144">
        <f t="shared" si="182"/>
        <v>222111.70938900003</v>
      </c>
      <c r="Z488" s="106">
        <f t="shared" si="183"/>
        <v>222112</v>
      </c>
      <c r="AA488" s="115"/>
      <c r="AB488" s="115"/>
      <c r="AC488" s="115"/>
      <c r="AD488" s="108">
        <f t="shared" si="178"/>
        <v>222112</v>
      </c>
    </row>
    <row r="489" spans="1:30" ht="30" x14ac:dyDescent="0.2">
      <c r="A489" s="91"/>
      <c r="B489" s="103" t="s">
        <v>1199</v>
      </c>
      <c r="C489" s="102" t="s">
        <v>914</v>
      </c>
      <c r="D489" s="158" t="s">
        <v>5</v>
      </c>
      <c r="E489" s="104"/>
      <c r="F489" s="48">
        <v>163710.0203</v>
      </c>
      <c r="G489" s="115">
        <f t="shared" si="181"/>
        <v>0</v>
      </c>
      <c r="H489" s="95">
        <v>121625</v>
      </c>
      <c r="I489" s="95">
        <v>15566</v>
      </c>
      <c r="J489" s="96">
        <f t="shared" si="172"/>
        <v>137191</v>
      </c>
      <c r="K489" s="96">
        <f t="shared" si="173"/>
        <v>0</v>
      </c>
      <c r="L489" s="129">
        <f t="shared" si="174"/>
        <v>163710.0203</v>
      </c>
      <c r="M489" s="129">
        <f t="shared" si="175"/>
        <v>0</v>
      </c>
      <c r="N489" s="91"/>
      <c r="O489" s="91"/>
      <c r="P489" s="91"/>
      <c r="Q489" s="91"/>
      <c r="R489" s="97">
        <f t="shared" si="161"/>
        <v>0</v>
      </c>
      <c r="S489" s="98">
        <v>1105042.6370250001</v>
      </c>
      <c r="T489" s="97"/>
      <c r="U489" s="100">
        <f t="shared" si="169"/>
        <v>0</v>
      </c>
      <c r="V489" s="107">
        <f t="shared" si="170"/>
        <v>0</v>
      </c>
      <c r="W489" s="91"/>
      <c r="X489" s="159">
        <v>5</v>
      </c>
      <c r="Y489" s="144">
        <f t="shared" si="182"/>
        <v>169439.87101050001</v>
      </c>
      <c r="Z489" s="106">
        <f t="shared" si="183"/>
        <v>847199</v>
      </c>
      <c r="AA489" s="115"/>
      <c r="AB489" s="115"/>
      <c r="AC489" s="115"/>
      <c r="AD489" s="108">
        <f t="shared" si="178"/>
        <v>847199</v>
      </c>
    </row>
    <row r="490" spans="1:30" ht="30" x14ac:dyDescent="0.2">
      <c r="A490" s="91"/>
      <c r="B490" s="103" t="s">
        <v>1200</v>
      </c>
      <c r="C490" s="102" t="s">
        <v>915</v>
      </c>
      <c r="D490" s="158" t="s">
        <v>5</v>
      </c>
      <c r="E490" s="104"/>
      <c r="F490" s="48">
        <v>135435.97010000001</v>
      </c>
      <c r="G490" s="115">
        <f t="shared" si="181"/>
        <v>0</v>
      </c>
      <c r="H490" s="95">
        <v>97931</v>
      </c>
      <c r="I490" s="95">
        <v>15566</v>
      </c>
      <c r="J490" s="96">
        <f t="shared" si="172"/>
        <v>113497</v>
      </c>
      <c r="K490" s="96">
        <f t="shared" si="173"/>
        <v>0</v>
      </c>
      <c r="L490" s="129">
        <f t="shared" si="174"/>
        <v>135435.97010000001</v>
      </c>
      <c r="M490" s="129">
        <f t="shared" si="175"/>
        <v>0</v>
      </c>
      <c r="N490" s="91"/>
      <c r="O490" s="91"/>
      <c r="P490" s="91"/>
      <c r="Q490" s="91"/>
      <c r="R490" s="97">
        <f t="shared" si="161"/>
        <v>0</v>
      </c>
      <c r="S490" s="98">
        <v>365677.11927000002</v>
      </c>
      <c r="T490" s="97"/>
      <c r="U490" s="100">
        <f t="shared" si="169"/>
        <v>0</v>
      </c>
      <c r="V490" s="107">
        <f t="shared" si="170"/>
        <v>0</v>
      </c>
      <c r="W490" s="91"/>
      <c r="X490" s="159">
        <v>2</v>
      </c>
      <c r="Y490" s="144">
        <f t="shared" si="182"/>
        <v>140176.22905349999</v>
      </c>
      <c r="Z490" s="106">
        <f t="shared" si="183"/>
        <v>280352</v>
      </c>
      <c r="AA490" s="115"/>
      <c r="AB490" s="115"/>
      <c r="AC490" s="115"/>
      <c r="AD490" s="108">
        <f t="shared" si="178"/>
        <v>280352</v>
      </c>
    </row>
    <row r="491" spans="1:30" ht="30" x14ac:dyDescent="0.2">
      <c r="A491" s="91"/>
      <c r="B491" s="103" t="s">
        <v>1201</v>
      </c>
      <c r="C491" s="102" t="s">
        <v>916</v>
      </c>
      <c r="D491" s="158" t="s">
        <v>5</v>
      </c>
      <c r="E491" s="104"/>
      <c r="F491" s="48">
        <v>257001.02100000001</v>
      </c>
      <c r="G491" s="115">
        <f t="shared" si="181"/>
        <v>0</v>
      </c>
      <c r="H491" s="95">
        <v>199804</v>
      </c>
      <c r="I491" s="95">
        <v>15566</v>
      </c>
      <c r="J491" s="96">
        <f t="shared" si="172"/>
        <v>215370</v>
      </c>
      <c r="K491" s="96">
        <f t="shared" si="173"/>
        <v>0</v>
      </c>
      <c r="L491" s="129">
        <f t="shared" si="174"/>
        <v>257001.02100000001</v>
      </c>
      <c r="M491" s="129">
        <f t="shared" si="175"/>
        <v>0</v>
      </c>
      <c r="N491" s="91"/>
      <c r="O491" s="91"/>
      <c r="P491" s="91"/>
      <c r="Q491" s="91"/>
      <c r="R491" s="97">
        <f t="shared" si="161"/>
        <v>0</v>
      </c>
      <c r="S491" s="98">
        <v>1387805.5134000001</v>
      </c>
      <c r="T491" s="97"/>
      <c r="U491" s="100">
        <f t="shared" si="169"/>
        <v>0</v>
      </c>
      <c r="V491" s="107">
        <f t="shared" si="170"/>
        <v>0</v>
      </c>
      <c r="W491" s="91"/>
      <c r="X491" s="159">
        <v>4</v>
      </c>
      <c r="Y491" s="144">
        <f t="shared" si="182"/>
        <v>265996.05673499999</v>
      </c>
      <c r="Z491" s="106">
        <f t="shared" si="183"/>
        <v>1063984</v>
      </c>
      <c r="AA491" s="115"/>
      <c r="AB491" s="115"/>
      <c r="AC491" s="115"/>
      <c r="AD491" s="108">
        <f t="shared" si="178"/>
        <v>1063984</v>
      </c>
    </row>
    <row r="492" spans="1:30" ht="15" x14ac:dyDescent="0.2">
      <c r="A492" s="91"/>
      <c r="B492" s="103" t="s">
        <v>1202</v>
      </c>
      <c r="C492" s="102" t="s">
        <v>917</v>
      </c>
      <c r="D492" s="158" t="s">
        <v>5</v>
      </c>
      <c r="E492" s="104"/>
      <c r="F492" s="48">
        <v>578180.10259999998</v>
      </c>
      <c r="G492" s="115">
        <f t="shared" si="181"/>
        <v>0</v>
      </c>
      <c r="H492" s="95">
        <v>426150</v>
      </c>
      <c r="I492" s="95">
        <v>58372</v>
      </c>
      <c r="J492" s="96">
        <f t="shared" si="172"/>
        <v>484522</v>
      </c>
      <c r="K492" s="96">
        <f t="shared" si="173"/>
        <v>0</v>
      </c>
      <c r="L492" s="129">
        <f t="shared" si="174"/>
        <v>578180.10259999998</v>
      </c>
      <c r="M492" s="129">
        <f t="shared" si="175"/>
        <v>0</v>
      </c>
      <c r="N492" s="91"/>
      <c r="O492" s="91"/>
      <c r="P492" s="91"/>
      <c r="Q492" s="91"/>
      <c r="R492" s="97">
        <f t="shared" si="161"/>
        <v>0</v>
      </c>
      <c r="S492" s="98">
        <v>780543.13850999996</v>
      </c>
      <c r="T492" s="97"/>
      <c r="U492" s="100">
        <f t="shared" si="169"/>
        <v>0</v>
      </c>
      <c r="V492" s="107">
        <f t="shared" si="170"/>
        <v>0</v>
      </c>
      <c r="W492" s="91"/>
      <c r="X492" s="159">
        <v>1</v>
      </c>
      <c r="Y492" s="144">
        <f t="shared" si="182"/>
        <v>598416.40619100002</v>
      </c>
      <c r="Z492" s="106">
        <f t="shared" si="183"/>
        <v>598416</v>
      </c>
      <c r="AA492" s="115"/>
      <c r="AB492" s="115"/>
      <c r="AC492" s="115"/>
      <c r="AD492" s="108">
        <f t="shared" si="178"/>
        <v>598416</v>
      </c>
    </row>
    <row r="493" spans="1:30" ht="15" x14ac:dyDescent="0.2">
      <c r="A493" s="91"/>
      <c r="B493" s="103" t="s">
        <v>1203</v>
      </c>
      <c r="C493" s="102" t="s">
        <v>918</v>
      </c>
      <c r="D493" s="158" t="s">
        <v>5</v>
      </c>
      <c r="E493" s="104"/>
      <c r="F493" s="48">
        <v>578180.10259999998</v>
      </c>
      <c r="G493" s="115">
        <f t="shared" si="181"/>
        <v>0</v>
      </c>
      <c r="H493" s="95">
        <v>426150</v>
      </c>
      <c r="I493" s="95">
        <v>58372</v>
      </c>
      <c r="J493" s="96">
        <f t="shared" si="172"/>
        <v>484522</v>
      </c>
      <c r="K493" s="96">
        <f t="shared" si="173"/>
        <v>0</v>
      </c>
      <c r="L493" s="129">
        <f t="shared" si="174"/>
        <v>578180.10259999998</v>
      </c>
      <c r="M493" s="129">
        <f t="shared" si="175"/>
        <v>0</v>
      </c>
      <c r="N493" s="91"/>
      <c r="O493" s="91"/>
      <c r="P493" s="91"/>
      <c r="Q493" s="91"/>
      <c r="R493" s="97">
        <f t="shared" si="161"/>
        <v>0</v>
      </c>
      <c r="S493" s="98">
        <v>780543.13850999996</v>
      </c>
      <c r="T493" s="97"/>
      <c r="U493" s="100">
        <f t="shared" si="169"/>
        <v>0</v>
      </c>
      <c r="V493" s="107">
        <f t="shared" si="170"/>
        <v>0</v>
      </c>
      <c r="W493" s="91"/>
      <c r="X493" s="159">
        <v>1</v>
      </c>
      <c r="Y493" s="144">
        <f t="shared" si="182"/>
        <v>598416.40619100002</v>
      </c>
      <c r="Z493" s="106">
        <f t="shared" si="183"/>
        <v>598416</v>
      </c>
      <c r="AA493" s="115"/>
      <c r="AB493" s="115"/>
      <c r="AC493" s="115"/>
      <c r="AD493" s="108">
        <f t="shared" si="178"/>
        <v>598416</v>
      </c>
    </row>
    <row r="494" spans="1:30" ht="15" x14ac:dyDescent="0.2">
      <c r="A494" s="91"/>
      <c r="B494" s="103" t="s">
        <v>1204</v>
      </c>
      <c r="C494" s="102" t="s">
        <v>919</v>
      </c>
      <c r="D494" s="158" t="s">
        <v>5</v>
      </c>
      <c r="E494" s="104"/>
      <c r="F494" s="48">
        <v>239405.8125</v>
      </c>
      <c r="G494" s="115">
        <f t="shared" si="181"/>
        <v>0</v>
      </c>
      <c r="H494" s="95">
        <v>142253</v>
      </c>
      <c r="I494" s="95">
        <v>58372</v>
      </c>
      <c r="J494" s="96">
        <f t="shared" si="172"/>
        <v>200625</v>
      </c>
      <c r="K494" s="96">
        <f t="shared" si="173"/>
        <v>0</v>
      </c>
      <c r="L494" s="129">
        <f t="shared" si="174"/>
        <v>239405.8125</v>
      </c>
      <c r="M494" s="129">
        <f t="shared" si="175"/>
        <v>0</v>
      </c>
      <c r="N494" s="91"/>
      <c r="O494" s="91"/>
      <c r="P494" s="91"/>
      <c r="Q494" s="91"/>
      <c r="R494" s="97">
        <f t="shared" si="161"/>
        <v>0</v>
      </c>
      <c r="S494" s="98">
        <v>323197.84687500005</v>
      </c>
      <c r="T494" s="97"/>
      <c r="U494" s="100">
        <f t="shared" si="169"/>
        <v>0</v>
      </c>
      <c r="V494" s="107">
        <f t="shared" si="170"/>
        <v>0</v>
      </c>
      <c r="W494" s="91"/>
      <c r="X494" s="159">
        <v>1</v>
      </c>
      <c r="Y494" s="144">
        <f t="shared" si="182"/>
        <v>247785.01593749999</v>
      </c>
      <c r="Z494" s="106">
        <f t="shared" si="183"/>
        <v>247785</v>
      </c>
      <c r="AA494" s="115"/>
      <c r="AB494" s="115"/>
      <c r="AC494" s="115"/>
      <c r="AD494" s="108">
        <f t="shared" si="178"/>
        <v>247785</v>
      </c>
    </row>
    <row r="495" spans="1:30" x14ac:dyDescent="0.2">
      <c r="A495" s="91"/>
      <c r="B495" s="103"/>
      <c r="C495" s="102"/>
      <c r="D495" s="103"/>
      <c r="E495" s="102"/>
      <c r="F495" s="102"/>
      <c r="G495" s="108"/>
      <c r="H495" s="95"/>
      <c r="I495" s="95"/>
      <c r="J495" s="96"/>
      <c r="K495" s="96">
        <f t="shared" si="173"/>
        <v>0</v>
      </c>
      <c r="L495" s="129">
        <f t="shared" si="174"/>
        <v>0</v>
      </c>
      <c r="M495" s="129">
        <f t="shared" si="175"/>
        <v>0</v>
      </c>
      <c r="N495" s="91"/>
      <c r="O495" s="91"/>
      <c r="P495" s="91"/>
      <c r="Q495" s="91"/>
      <c r="R495" s="97">
        <f t="shared" si="161"/>
        <v>0</v>
      </c>
      <c r="S495" s="98">
        <v>0</v>
      </c>
      <c r="T495" s="97"/>
      <c r="U495" s="100">
        <f t="shared" si="169"/>
        <v>0</v>
      </c>
      <c r="V495" s="107">
        <f t="shared" si="170"/>
        <v>0</v>
      </c>
      <c r="W495" s="91"/>
      <c r="X495" s="108"/>
      <c r="Y495" s="108"/>
      <c r="Z495" s="108"/>
      <c r="AA495" s="108"/>
      <c r="AB495" s="108"/>
      <c r="AC495" s="108"/>
      <c r="AD495" s="108">
        <f t="shared" si="178"/>
        <v>0</v>
      </c>
    </row>
    <row r="496" spans="1:30" ht="15" x14ac:dyDescent="0.2">
      <c r="A496" s="91"/>
      <c r="B496" s="156" t="s">
        <v>1205</v>
      </c>
      <c r="C496" s="93" t="s">
        <v>521</v>
      </c>
      <c r="D496" s="92"/>
      <c r="E496" s="160"/>
      <c r="F496" s="93"/>
      <c r="G496" s="113">
        <f>SUM(G497:G505)</f>
        <v>0</v>
      </c>
      <c r="H496" s="95"/>
      <c r="I496" s="95"/>
      <c r="J496" s="96"/>
      <c r="K496" s="96">
        <f t="shared" si="173"/>
        <v>0</v>
      </c>
      <c r="L496" s="129">
        <f t="shared" si="174"/>
        <v>0</v>
      </c>
      <c r="M496" s="129">
        <f t="shared" si="175"/>
        <v>0</v>
      </c>
      <c r="N496" s="91"/>
      <c r="O496" s="91"/>
      <c r="P496" s="91"/>
      <c r="Q496" s="91"/>
      <c r="R496" s="97">
        <f t="shared" si="161"/>
        <v>0</v>
      </c>
      <c r="S496" s="98">
        <v>30027197.575034998</v>
      </c>
      <c r="T496" s="97"/>
      <c r="U496" s="100">
        <f t="shared" si="169"/>
        <v>0</v>
      </c>
      <c r="V496" s="107">
        <f t="shared" si="170"/>
        <v>0</v>
      </c>
      <c r="W496" s="91"/>
      <c r="X496" s="113"/>
      <c r="Y496" s="113"/>
      <c r="Z496" s="113">
        <f>SUM(Z497:Z505)</f>
        <v>18218408</v>
      </c>
      <c r="AA496" s="113"/>
      <c r="AB496" s="113"/>
      <c r="AC496" s="113"/>
      <c r="AD496" s="94">
        <f>G496+Z496+AC496</f>
        <v>18218408</v>
      </c>
    </row>
    <row r="497" spans="1:32" ht="15" x14ac:dyDescent="0.2">
      <c r="A497" s="91">
        <v>166002</v>
      </c>
      <c r="B497" s="103" t="s">
        <v>1206</v>
      </c>
      <c r="C497" s="102" t="s">
        <v>1004</v>
      </c>
      <c r="D497" s="158" t="s">
        <v>11</v>
      </c>
      <c r="E497" s="104"/>
      <c r="F497" s="48">
        <v>9864</v>
      </c>
      <c r="G497" s="115">
        <f t="shared" ref="G497:G505" si="184">F497*E497</f>
        <v>0</v>
      </c>
      <c r="H497" s="95">
        <v>12386</v>
      </c>
      <c r="I497" s="95">
        <v>6276</v>
      </c>
      <c r="J497" s="96">
        <f t="shared" ref="J497:J505" si="185">H497+I497</f>
        <v>18662</v>
      </c>
      <c r="K497" s="96">
        <f t="shared" si="173"/>
        <v>0</v>
      </c>
      <c r="L497" s="129">
        <f t="shared" si="174"/>
        <v>22269.364600000001</v>
      </c>
      <c r="M497" s="129">
        <f>L497*E497</f>
        <v>0</v>
      </c>
      <c r="N497" s="91"/>
      <c r="O497" s="91"/>
      <c r="P497" s="91"/>
      <c r="Q497" s="91"/>
      <c r="R497" s="97">
        <f t="shared" ref="R497:R532" si="186">(G497*0.3)+G497+(G497*0.05)</f>
        <v>0</v>
      </c>
      <c r="S497" s="98">
        <v>2104454.9547000001</v>
      </c>
      <c r="T497" s="97"/>
      <c r="U497" s="100">
        <f t="shared" si="169"/>
        <v>0</v>
      </c>
      <c r="V497" s="107">
        <f t="shared" si="170"/>
        <v>0</v>
      </c>
      <c r="W497" s="91"/>
      <c r="X497" s="159">
        <v>70</v>
      </c>
      <c r="Y497" s="144">
        <f t="shared" ref="Y497:Y504" si="187">(F497*3.5%)+F497</f>
        <v>10209.24</v>
      </c>
      <c r="Z497" s="106">
        <f t="shared" ref="Z497:Z504" si="188">ROUND(X497*Y497,0)</f>
        <v>714647</v>
      </c>
      <c r="AA497" s="115"/>
      <c r="AB497" s="115"/>
      <c r="AC497" s="115"/>
      <c r="AD497" s="108">
        <f t="shared" si="178"/>
        <v>714647</v>
      </c>
    </row>
    <row r="498" spans="1:32" ht="15" x14ac:dyDescent="0.2">
      <c r="A498" s="91">
        <v>166004</v>
      </c>
      <c r="B498" s="103" t="s">
        <v>1207</v>
      </c>
      <c r="C498" s="102" t="s">
        <v>1005</v>
      </c>
      <c r="D498" s="158" t="s">
        <v>11</v>
      </c>
      <c r="E498" s="104"/>
      <c r="F498" s="48">
        <v>9864</v>
      </c>
      <c r="G498" s="115">
        <f t="shared" si="184"/>
        <v>0</v>
      </c>
      <c r="H498" s="95">
        <v>18862</v>
      </c>
      <c r="I498" s="95">
        <v>6276</v>
      </c>
      <c r="J498" s="96">
        <f t="shared" si="185"/>
        <v>25138</v>
      </c>
      <c r="K498" s="96">
        <f t="shared" si="173"/>
        <v>0</v>
      </c>
      <c r="L498" s="129">
        <f t="shared" si="174"/>
        <v>29997.1754</v>
      </c>
      <c r="M498" s="129">
        <f t="shared" si="175"/>
        <v>0</v>
      </c>
      <c r="N498" s="91"/>
      <c r="O498" s="91"/>
      <c r="P498" s="91"/>
      <c r="Q498" s="91"/>
      <c r="R498" s="97">
        <f t="shared" si="186"/>
        <v>0</v>
      </c>
      <c r="S498" s="98">
        <v>2956221.6356700002</v>
      </c>
      <c r="T498" s="97"/>
      <c r="U498" s="100">
        <f t="shared" si="169"/>
        <v>0</v>
      </c>
      <c r="V498" s="107">
        <f t="shared" si="170"/>
        <v>0</v>
      </c>
      <c r="W498" s="91"/>
      <c r="X498" s="159">
        <v>73</v>
      </c>
      <c r="Y498" s="144">
        <f t="shared" si="187"/>
        <v>10209.24</v>
      </c>
      <c r="Z498" s="106">
        <f t="shared" si="188"/>
        <v>745275</v>
      </c>
      <c r="AA498" s="115"/>
      <c r="AB498" s="115"/>
      <c r="AC498" s="115"/>
      <c r="AD498" s="108">
        <f t="shared" si="178"/>
        <v>745275</v>
      </c>
    </row>
    <row r="499" spans="1:32" ht="15" x14ac:dyDescent="0.2">
      <c r="A499" s="91">
        <v>166005</v>
      </c>
      <c r="B499" s="103" t="s">
        <v>1208</v>
      </c>
      <c r="C499" s="102" t="s">
        <v>1006</v>
      </c>
      <c r="D499" s="158" t="s">
        <v>11</v>
      </c>
      <c r="E499" s="104"/>
      <c r="F499" s="48">
        <v>18798</v>
      </c>
      <c r="G499" s="115">
        <f t="shared" si="184"/>
        <v>0</v>
      </c>
      <c r="H499" s="95">
        <v>23185</v>
      </c>
      <c r="I499" s="95">
        <v>6276</v>
      </c>
      <c r="J499" s="96">
        <f t="shared" si="185"/>
        <v>29461</v>
      </c>
      <c r="K499" s="96">
        <f t="shared" si="173"/>
        <v>0</v>
      </c>
      <c r="L499" s="129">
        <f t="shared" si="174"/>
        <v>35155.811300000001</v>
      </c>
      <c r="M499" s="129">
        <f t="shared" si="175"/>
        <v>0</v>
      </c>
      <c r="N499" s="91"/>
      <c r="O499" s="91"/>
      <c r="P499" s="91"/>
      <c r="Q499" s="91"/>
      <c r="R499" s="97">
        <f t="shared" si="186"/>
        <v>0</v>
      </c>
      <c r="S499" s="98">
        <v>4840955.2160099996</v>
      </c>
      <c r="T499" s="97"/>
      <c r="U499" s="100">
        <f t="shared" si="169"/>
        <v>0</v>
      </c>
      <c r="V499" s="107">
        <f t="shared" si="170"/>
        <v>0</v>
      </c>
      <c r="W499" s="91"/>
      <c r="X499" s="159">
        <v>102</v>
      </c>
      <c r="Y499" s="144">
        <f t="shared" si="187"/>
        <v>19455.93</v>
      </c>
      <c r="Z499" s="106">
        <f t="shared" si="188"/>
        <v>1984505</v>
      </c>
      <c r="AA499" s="115"/>
      <c r="AB499" s="115"/>
      <c r="AC499" s="115"/>
      <c r="AD499" s="108">
        <f t="shared" si="178"/>
        <v>1984505</v>
      </c>
    </row>
    <row r="500" spans="1:32" ht="15" x14ac:dyDescent="0.2">
      <c r="A500" s="91"/>
      <c r="B500" s="103" t="s">
        <v>1209</v>
      </c>
      <c r="C500" s="102" t="s">
        <v>920</v>
      </c>
      <c r="D500" s="158" t="s">
        <v>11</v>
      </c>
      <c r="E500" s="104"/>
      <c r="F500" s="48">
        <v>44964.737300000001</v>
      </c>
      <c r="G500" s="115">
        <f t="shared" si="184"/>
        <v>0</v>
      </c>
      <c r="H500" s="95">
        <v>31405</v>
      </c>
      <c r="I500" s="95">
        <v>6276</v>
      </c>
      <c r="J500" s="96">
        <f t="shared" si="185"/>
        <v>37681</v>
      </c>
      <c r="K500" s="96">
        <f t="shared" si="173"/>
        <v>0</v>
      </c>
      <c r="L500" s="129">
        <f t="shared" si="174"/>
        <v>44964.737300000001</v>
      </c>
      <c r="M500" s="129">
        <f t="shared" si="175"/>
        <v>0</v>
      </c>
      <c r="N500" s="91"/>
      <c r="O500" s="91"/>
      <c r="P500" s="91"/>
      <c r="Q500" s="91"/>
      <c r="R500" s="97">
        <f t="shared" si="186"/>
        <v>0</v>
      </c>
      <c r="S500" s="98">
        <v>4552679.6516249999</v>
      </c>
      <c r="T500" s="97"/>
      <c r="U500" s="100">
        <f t="shared" si="169"/>
        <v>0</v>
      </c>
      <c r="V500" s="107">
        <f t="shared" si="170"/>
        <v>0</v>
      </c>
      <c r="W500" s="91"/>
      <c r="X500" s="159">
        <v>75</v>
      </c>
      <c r="Y500" s="144">
        <f t="shared" si="187"/>
        <v>46538.5031055</v>
      </c>
      <c r="Z500" s="106">
        <f t="shared" si="188"/>
        <v>3490388</v>
      </c>
      <c r="AA500" s="115"/>
      <c r="AB500" s="115"/>
      <c r="AC500" s="115"/>
      <c r="AD500" s="108">
        <f t="shared" si="178"/>
        <v>3490388</v>
      </c>
    </row>
    <row r="501" spans="1:32" ht="15" x14ac:dyDescent="0.2">
      <c r="A501" s="91">
        <v>166003</v>
      </c>
      <c r="B501" s="103" t="s">
        <v>1210</v>
      </c>
      <c r="C501" s="102" t="s">
        <v>1007</v>
      </c>
      <c r="D501" s="158" t="s">
        <v>11</v>
      </c>
      <c r="E501" s="104"/>
      <c r="F501" s="48">
        <v>34615</v>
      </c>
      <c r="G501" s="115">
        <f t="shared" si="184"/>
        <v>0</v>
      </c>
      <c r="H501" s="95">
        <v>58121</v>
      </c>
      <c r="I501" s="95">
        <v>6276</v>
      </c>
      <c r="J501" s="96">
        <f t="shared" si="185"/>
        <v>64397</v>
      </c>
      <c r="K501" s="96">
        <f t="shared" si="173"/>
        <v>0</v>
      </c>
      <c r="L501" s="129">
        <f t="shared" si="174"/>
        <v>76844.940100000007</v>
      </c>
      <c r="M501" s="129">
        <f t="shared" si="175"/>
        <v>0</v>
      </c>
      <c r="N501" s="91"/>
      <c r="O501" s="91"/>
      <c r="P501" s="91"/>
      <c r="Q501" s="91"/>
      <c r="R501" s="97">
        <f t="shared" si="186"/>
        <v>0</v>
      </c>
      <c r="S501" s="98">
        <v>1556110.037025</v>
      </c>
      <c r="T501" s="97"/>
      <c r="U501" s="100">
        <f t="shared" si="169"/>
        <v>0</v>
      </c>
      <c r="V501" s="107">
        <f t="shared" si="170"/>
        <v>0</v>
      </c>
      <c r="W501" s="91"/>
      <c r="X501" s="159">
        <v>15</v>
      </c>
      <c r="Y501" s="144">
        <f t="shared" si="187"/>
        <v>35826.525000000001</v>
      </c>
      <c r="Z501" s="106">
        <f t="shared" si="188"/>
        <v>537398</v>
      </c>
      <c r="AA501" s="115"/>
      <c r="AB501" s="115"/>
      <c r="AC501" s="115"/>
      <c r="AD501" s="108">
        <f t="shared" si="178"/>
        <v>537398</v>
      </c>
    </row>
    <row r="502" spans="1:32" ht="15" x14ac:dyDescent="0.2">
      <c r="A502" s="91"/>
      <c r="B502" s="103" t="s">
        <v>1211</v>
      </c>
      <c r="C502" s="102" t="s">
        <v>921</v>
      </c>
      <c r="D502" s="158" t="s">
        <v>11</v>
      </c>
      <c r="E502" s="104"/>
      <c r="F502" s="48">
        <v>72922.562999999995</v>
      </c>
      <c r="G502" s="115">
        <f t="shared" si="184"/>
        <v>0</v>
      </c>
      <c r="H502" s="95">
        <v>54834</v>
      </c>
      <c r="I502" s="95">
        <v>6276</v>
      </c>
      <c r="J502" s="96">
        <f t="shared" si="185"/>
        <v>61110</v>
      </c>
      <c r="K502" s="96">
        <f t="shared" si="173"/>
        <v>0</v>
      </c>
      <c r="L502" s="129">
        <f t="shared" si="174"/>
        <v>72922.562999999995</v>
      </c>
      <c r="M502" s="129">
        <f t="shared" si="175"/>
        <v>0</v>
      </c>
      <c r="N502" s="91"/>
      <c r="O502" s="91"/>
      <c r="P502" s="91"/>
      <c r="Q502" s="91"/>
      <c r="R502" s="97">
        <f t="shared" si="186"/>
        <v>0</v>
      </c>
      <c r="S502" s="98">
        <v>1476681.9007499998</v>
      </c>
      <c r="T502" s="97"/>
      <c r="U502" s="100">
        <f t="shared" si="169"/>
        <v>0</v>
      </c>
      <c r="V502" s="107">
        <f t="shared" si="170"/>
        <v>0</v>
      </c>
      <c r="W502" s="91"/>
      <c r="X502" s="159">
        <v>15</v>
      </c>
      <c r="Y502" s="144">
        <f t="shared" si="187"/>
        <v>75474.852704999998</v>
      </c>
      <c r="Z502" s="106">
        <f t="shared" si="188"/>
        <v>1132123</v>
      </c>
      <c r="AA502" s="115"/>
      <c r="AB502" s="115"/>
      <c r="AC502" s="115"/>
      <c r="AD502" s="108">
        <f t="shared" si="178"/>
        <v>1132123</v>
      </c>
    </row>
    <row r="503" spans="1:32" ht="15" x14ac:dyDescent="0.2">
      <c r="A503" s="91"/>
      <c r="B503" s="103" t="s">
        <v>1212</v>
      </c>
      <c r="C503" s="102" t="s">
        <v>922</v>
      </c>
      <c r="D503" s="158" t="s">
        <v>11</v>
      </c>
      <c r="E503" s="104"/>
      <c r="F503" s="48">
        <v>99870.856899999999</v>
      </c>
      <c r="G503" s="115">
        <f t="shared" si="184"/>
        <v>0</v>
      </c>
      <c r="H503" s="95">
        <v>77417</v>
      </c>
      <c r="I503" s="95">
        <v>6276</v>
      </c>
      <c r="J503" s="96">
        <f t="shared" si="185"/>
        <v>83693</v>
      </c>
      <c r="K503" s="96">
        <f t="shared" si="173"/>
        <v>0</v>
      </c>
      <c r="L503" s="129">
        <f t="shared" si="174"/>
        <v>99870.856899999999</v>
      </c>
      <c r="M503" s="129">
        <f t="shared" si="175"/>
        <v>0</v>
      </c>
      <c r="N503" s="91"/>
      <c r="O503" s="91"/>
      <c r="P503" s="91"/>
      <c r="Q503" s="91"/>
      <c r="R503" s="97">
        <f t="shared" si="186"/>
        <v>0</v>
      </c>
      <c r="S503" s="98">
        <v>8359190.7225299999</v>
      </c>
      <c r="T503" s="97"/>
      <c r="U503" s="100">
        <f t="shared" si="169"/>
        <v>0</v>
      </c>
      <c r="V503" s="107">
        <f t="shared" si="170"/>
        <v>0</v>
      </c>
      <c r="W503" s="91"/>
      <c r="X503" s="159">
        <v>62</v>
      </c>
      <c r="Y503" s="144">
        <f t="shared" si="187"/>
        <v>103366.3368915</v>
      </c>
      <c r="Z503" s="106">
        <f t="shared" si="188"/>
        <v>6408713</v>
      </c>
      <c r="AA503" s="115"/>
      <c r="AB503" s="115"/>
      <c r="AC503" s="115"/>
      <c r="AD503" s="108">
        <f t="shared" si="178"/>
        <v>6408713</v>
      </c>
    </row>
    <row r="504" spans="1:32" ht="45" x14ac:dyDescent="0.2">
      <c r="A504" s="91"/>
      <c r="B504" s="103" t="s">
        <v>1213</v>
      </c>
      <c r="C504" s="102" t="s">
        <v>923</v>
      </c>
      <c r="D504" s="158" t="s">
        <v>11</v>
      </c>
      <c r="E504" s="104"/>
      <c r="F504" s="48">
        <v>55797.5147</v>
      </c>
      <c r="G504" s="115">
        <f t="shared" si="184"/>
        <v>0</v>
      </c>
      <c r="H504" s="95">
        <v>31193</v>
      </c>
      <c r="I504" s="95">
        <v>15566</v>
      </c>
      <c r="J504" s="96">
        <f t="shared" si="185"/>
        <v>46759</v>
      </c>
      <c r="K504" s="96">
        <f t="shared" si="173"/>
        <v>0</v>
      </c>
      <c r="L504" s="129">
        <f t="shared" si="174"/>
        <v>55797.5147</v>
      </c>
      <c r="M504" s="129">
        <f t="shared" si="175"/>
        <v>0</v>
      </c>
      <c r="N504" s="91"/>
      <c r="O504" s="91"/>
      <c r="P504" s="91"/>
      <c r="Q504" s="91"/>
      <c r="R504" s="97">
        <f t="shared" si="186"/>
        <v>0</v>
      </c>
      <c r="S504" s="98">
        <v>3389699.0180250001</v>
      </c>
      <c r="T504" s="97"/>
      <c r="U504" s="100">
        <f t="shared" si="169"/>
        <v>0</v>
      </c>
      <c r="V504" s="107">
        <f t="shared" si="170"/>
        <v>0</v>
      </c>
      <c r="W504" s="91"/>
      <c r="X504" s="159">
        <v>45</v>
      </c>
      <c r="Y504" s="144">
        <f t="shared" si="187"/>
        <v>57750.427714500001</v>
      </c>
      <c r="Z504" s="106">
        <f t="shared" si="188"/>
        <v>2598769</v>
      </c>
      <c r="AA504" s="115"/>
      <c r="AB504" s="115"/>
      <c r="AC504" s="115"/>
      <c r="AD504" s="108">
        <f t="shared" si="178"/>
        <v>2598769</v>
      </c>
    </row>
    <row r="505" spans="1:32" ht="45" x14ac:dyDescent="0.2">
      <c r="A505" s="91"/>
      <c r="B505" s="103" t="s">
        <v>1214</v>
      </c>
      <c r="C505" s="102" t="s">
        <v>924</v>
      </c>
      <c r="D505" s="158" t="s">
        <v>5</v>
      </c>
      <c r="E505" s="104"/>
      <c r="F505" s="48">
        <v>29303.8681</v>
      </c>
      <c r="G505" s="115">
        <f t="shared" si="184"/>
        <v>0</v>
      </c>
      <c r="H505" s="95">
        <v>8991</v>
      </c>
      <c r="I505" s="95">
        <v>15566</v>
      </c>
      <c r="J505" s="96">
        <f t="shared" si="185"/>
        <v>24557</v>
      </c>
      <c r="K505" s="96">
        <f t="shared" si="173"/>
        <v>0</v>
      </c>
      <c r="L505" s="129">
        <f t="shared" si="174"/>
        <v>29303.8681</v>
      </c>
      <c r="M505" s="129">
        <f t="shared" si="175"/>
        <v>0</v>
      </c>
      <c r="N505" s="91"/>
      <c r="O505" s="91"/>
      <c r="P505" s="91"/>
      <c r="Q505" s="91"/>
      <c r="R505" s="97">
        <f t="shared" si="186"/>
        <v>0</v>
      </c>
      <c r="S505" s="98">
        <v>791204.43869999994</v>
      </c>
      <c r="T505" s="97"/>
      <c r="U505" s="100">
        <f t="shared" si="169"/>
        <v>0</v>
      </c>
      <c r="V505" s="107">
        <f t="shared" si="170"/>
        <v>0</v>
      </c>
      <c r="W505" s="91"/>
      <c r="X505" s="159">
        <v>20</v>
      </c>
      <c r="Y505" s="144">
        <f>(F505*3.5%)+F505</f>
        <v>30329.503483500001</v>
      </c>
      <c r="Z505" s="106">
        <f>ROUND(X505*Y505,0)</f>
        <v>606590</v>
      </c>
      <c r="AA505" s="115"/>
      <c r="AB505" s="115"/>
      <c r="AC505" s="115"/>
      <c r="AD505" s="108">
        <f t="shared" si="178"/>
        <v>606590</v>
      </c>
    </row>
    <row r="506" spans="1:32" x14ac:dyDescent="0.2">
      <c r="A506" s="91"/>
      <c r="B506" s="103"/>
      <c r="C506" s="207" t="s">
        <v>127</v>
      </c>
      <c r="D506" s="207"/>
      <c r="E506" s="207"/>
      <c r="F506" s="208"/>
      <c r="G506" s="123">
        <f>SUM(G469:G505)/2</f>
        <v>0</v>
      </c>
      <c r="H506" s="95"/>
      <c r="I506" s="95"/>
      <c r="J506" s="96"/>
      <c r="K506" s="96">
        <f>SUM(K470:K505)</f>
        <v>0</v>
      </c>
      <c r="L506" s="91"/>
      <c r="M506" s="107">
        <f>SUM(M470:M505)</f>
        <v>0</v>
      </c>
      <c r="N506" s="91"/>
      <c r="O506" s="91"/>
      <c r="P506" s="91"/>
      <c r="Q506" s="91"/>
      <c r="R506" s="121">
        <f t="shared" si="186"/>
        <v>0</v>
      </c>
      <c r="S506" s="98">
        <v>536034614.94980997</v>
      </c>
      <c r="T506" s="97"/>
      <c r="U506" s="100">
        <f t="shared" si="169"/>
        <v>0</v>
      </c>
      <c r="V506" s="107">
        <f t="shared" si="170"/>
        <v>0</v>
      </c>
      <c r="W506" s="91"/>
      <c r="X506" s="123"/>
      <c r="Y506" s="123"/>
      <c r="Z506" s="123">
        <f>SUM(Z469:Z505)/2</f>
        <v>112508307</v>
      </c>
      <c r="AA506" s="123"/>
      <c r="AB506" s="123"/>
      <c r="AC506" s="123"/>
      <c r="AD506" s="123">
        <f>SUM(AD469:AD505)/2</f>
        <v>112508307</v>
      </c>
    </row>
    <row r="507" spans="1:32" x14ac:dyDescent="0.2">
      <c r="A507" s="91"/>
      <c r="B507" s="103"/>
      <c r="C507" s="102"/>
      <c r="D507" s="103"/>
      <c r="E507" s="102"/>
      <c r="F507" s="102"/>
      <c r="G507" s="102"/>
      <c r="H507" s="95"/>
      <c r="I507" s="95"/>
      <c r="J507" s="96"/>
      <c r="K507" s="96"/>
      <c r="L507" s="91"/>
      <c r="M507" s="91"/>
      <c r="N507" s="91"/>
      <c r="O507" s="91"/>
      <c r="P507" s="91"/>
      <c r="Q507" s="91"/>
      <c r="R507" s="97">
        <f t="shared" si="186"/>
        <v>0</v>
      </c>
      <c r="S507" s="98">
        <v>0</v>
      </c>
      <c r="T507" s="97"/>
      <c r="U507" s="100">
        <f t="shared" si="169"/>
        <v>0</v>
      </c>
      <c r="V507" s="107">
        <f t="shared" si="170"/>
        <v>0</v>
      </c>
      <c r="W507" s="91"/>
      <c r="X507" s="91"/>
      <c r="Y507" s="91"/>
      <c r="Z507" s="91"/>
      <c r="AA507" s="91"/>
      <c r="AB507" s="91"/>
      <c r="AC507" s="91"/>
      <c r="AD507" s="91"/>
    </row>
    <row r="508" spans="1:32" x14ac:dyDescent="0.2">
      <c r="A508" s="91"/>
      <c r="B508" s="86">
        <v>17</v>
      </c>
      <c r="C508" s="209" t="s">
        <v>124</v>
      </c>
      <c r="D508" s="209"/>
      <c r="E508" s="209"/>
      <c r="F508" s="210"/>
      <c r="G508" s="124"/>
      <c r="H508" s="95"/>
      <c r="I508" s="95"/>
      <c r="J508" s="96"/>
      <c r="K508" s="96"/>
      <c r="L508" s="91"/>
      <c r="M508" s="91"/>
      <c r="N508" s="91"/>
      <c r="O508" s="91"/>
      <c r="P508" s="91"/>
      <c r="Q508" s="91"/>
      <c r="R508" s="97">
        <f t="shared" si="186"/>
        <v>0</v>
      </c>
      <c r="S508" s="98">
        <v>0</v>
      </c>
      <c r="T508" s="97"/>
      <c r="U508" s="100">
        <f t="shared" si="169"/>
        <v>0</v>
      </c>
      <c r="V508" s="107">
        <f t="shared" si="170"/>
        <v>0</v>
      </c>
      <c r="W508" s="91"/>
      <c r="X508" s="124"/>
      <c r="Y508" s="124"/>
      <c r="Z508" s="124"/>
      <c r="AA508" s="124"/>
      <c r="AB508" s="124"/>
      <c r="AC508" s="124"/>
      <c r="AD508" s="124"/>
    </row>
    <row r="509" spans="1:32" ht="15" x14ac:dyDescent="0.2">
      <c r="A509" s="91"/>
      <c r="B509" s="156" t="s">
        <v>791</v>
      </c>
      <c r="C509" s="93" t="s">
        <v>525</v>
      </c>
      <c r="D509" s="92"/>
      <c r="E509" s="160"/>
      <c r="F509" s="93"/>
      <c r="G509" s="113">
        <f>SUM(G510:G516)</f>
        <v>12940695.63396531</v>
      </c>
      <c r="H509" s="95"/>
      <c r="I509" s="95"/>
      <c r="J509" s="96"/>
      <c r="K509" s="96"/>
      <c r="L509" s="129"/>
      <c r="M509" s="129"/>
      <c r="N509" s="91"/>
      <c r="O509" s="91"/>
      <c r="P509" s="91"/>
      <c r="Q509" s="91"/>
      <c r="R509" s="97">
        <f t="shared" si="186"/>
        <v>17469939.105853166</v>
      </c>
      <c r="S509" s="98">
        <v>115737184.79603189</v>
      </c>
      <c r="T509" s="97"/>
      <c r="U509" s="100">
        <f t="shared" si="169"/>
        <v>4076319.1246990724</v>
      </c>
      <c r="V509" s="107">
        <f t="shared" si="170"/>
        <v>17017014.758664381</v>
      </c>
      <c r="W509" s="91"/>
      <c r="X509" s="113"/>
      <c r="Y509" s="113"/>
      <c r="Z509" s="113">
        <f>SUM(Z510:Z516)</f>
        <v>2865692</v>
      </c>
      <c r="AA509" s="113"/>
      <c r="AB509" s="113"/>
      <c r="AC509" s="113">
        <f>SUM(AC510:AC516)</f>
        <v>73242658</v>
      </c>
      <c r="AD509" s="94">
        <f>G509+Z509+AC509</f>
        <v>89049045.633965313</v>
      </c>
    </row>
    <row r="510" spans="1:32" ht="15" x14ac:dyDescent="0.2">
      <c r="A510" s="46">
        <v>200132</v>
      </c>
      <c r="B510" s="103" t="s">
        <v>792</v>
      </c>
      <c r="C510" s="102" t="s">
        <v>117</v>
      </c>
      <c r="D510" s="103" t="s">
        <v>8</v>
      </c>
      <c r="E510" s="104">
        <v>2.4022110000000012</v>
      </c>
      <c r="F510" s="48">
        <v>78959</v>
      </c>
      <c r="G510" s="115">
        <f t="shared" ref="G510:G516" si="189">F510*E510</f>
        <v>189676.17834900008</v>
      </c>
      <c r="H510" s="95"/>
      <c r="I510" s="95"/>
      <c r="J510" s="96"/>
      <c r="K510" s="96"/>
      <c r="L510" s="91"/>
      <c r="M510" s="91"/>
      <c r="N510" s="91"/>
      <c r="O510" s="91"/>
      <c r="P510" s="91"/>
      <c r="Q510" s="91"/>
      <c r="R510" s="97">
        <f t="shared" si="186"/>
        <v>256062.84077115011</v>
      </c>
      <c r="S510" s="98">
        <v>1441302.1171920002</v>
      </c>
      <c r="T510" s="97"/>
      <c r="U510" s="100">
        <f t="shared" si="169"/>
        <v>59747.996179935028</v>
      </c>
      <c r="V510" s="107">
        <f t="shared" si="170"/>
        <v>249424.17452893511</v>
      </c>
      <c r="W510" s="91"/>
      <c r="X510" s="159">
        <v>0.51397599999999988</v>
      </c>
      <c r="Y510" s="144">
        <f t="shared" ref="Y510:Y515" si="190">(F510*3.5%)+F510</f>
        <v>81722.565000000002</v>
      </c>
      <c r="Z510" s="106">
        <f t="shared" ref="Z510:Z516" si="191">ROUND(X510*Y510,0)</f>
        <v>42003</v>
      </c>
      <c r="AA510" s="159">
        <v>12.753812999999999</v>
      </c>
      <c r="AB510" s="132">
        <v>84174.241949999996</v>
      </c>
      <c r="AC510" s="106">
        <f t="shared" ref="AC510:AC516" si="192">ROUND(AA510*AB510,0)</f>
        <v>1073543</v>
      </c>
      <c r="AD510" s="108">
        <f t="shared" ref="AD510:AD516" si="193">G510+Z510+AC510</f>
        <v>1305222.1783490002</v>
      </c>
      <c r="AE510" s="199"/>
      <c r="AF510" s="199"/>
    </row>
    <row r="511" spans="1:32" ht="15" x14ac:dyDescent="0.2">
      <c r="A511" s="91">
        <v>130111</v>
      </c>
      <c r="B511" s="103" t="s">
        <v>816</v>
      </c>
      <c r="C511" s="102" t="s">
        <v>63</v>
      </c>
      <c r="D511" s="103" t="s">
        <v>89</v>
      </c>
      <c r="E511" s="104">
        <v>13.679178621276591</v>
      </c>
      <c r="F511" s="48">
        <v>7779</v>
      </c>
      <c r="G511" s="115">
        <f t="shared" si="189"/>
        <v>106410.33049491061</v>
      </c>
      <c r="H511" s="95"/>
      <c r="I511" s="95"/>
      <c r="J511" s="96"/>
      <c r="K511" s="96"/>
      <c r="L511" s="91"/>
      <c r="M511" s="91"/>
      <c r="N511" s="91"/>
      <c r="O511" s="91"/>
      <c r="P511" s="91"/>
      <c r="Q511" s="91"/>
      <c r="R511" s="97">
        <f t="shared" si="186"/>
        <v>143653.94616812933</v>
      </c>
      <c r="S511" s="98">
        <v>937517.68507588073</v>
      </c>
      <c r="T511" s="97"/>
      <c r="U511" s="100">
        <f t="shared" si="169"/>
        <v>33519.254105896842</v>
      </c>
      <c r="V511" s="107">
        <f t="shared" si="170"/>
        <v>139929.58460080746</v>
      </c>
      <c r="W511" s="91"/>
      <c r="X511" s="159">
        <v>2.9267909900709208</v>
      </c>
      <c r="Y511" s="144">
        <f t="shared" si="190"/>
        <v>8051.2650000000003</v>
      </c>
      <c r="Z511" s="106">
        <f t="shared" si="191"/>
        <v>23564</v>
      </c>
      <c r="AA511" s="159">
        <v>72.625463012765934</v>
      </c>
      <c r="AB511" s="132">
        <v>8292.8029500000011</v>
      </c>
      <c r="AC511" s="106">
        <f t="shared" si="192"/>
        <v>602269</v>
      </c>
      <c r="AD511" s="108">
        <f t="shared" si="193"/>
        <v>732243.3304949106</v>
      </c>
      <c r="AE511" s="199"/>
      <c r="AF511" s="199"/>
    </row>
    <row r="512" spans="1:32" ht="15" x14ac:dyDescent="0.2">
      <c r="A512" s="91"/>
      <c r="B512" s="103" t="s">
        <v>817</v>
      </c>
      <c r="C512" s="102" t="s">
        <v>118</v>
      </c>
      <c r="D512" s="103" t="s">
        <v>8</v>
      </c>
      <c r="E512" s="104">
        <v>7.8137010000000018</v>
      </c>
      <c r="F512" s="48">
        <v>176880</v>
      </c>
      <c r="G512" s="115">
        <f t="shared" si="189"/>
        <v>1382087.4328800002</v>
      </c>
      <c r="H512" s="95"/>
      <c r="I512" s="95"/>
      <c r="J512" s="96"/>
      <c r="K512" s="96"/>
      <c r="L512" s="91"/>
      <c r="M512" s="91"/>
      <c r="N512" s="91"/>
      <c r="O512" s="91"/>
      <c r="P512" s="91"/>
      <c r="Q512" s="91"/>
      <c r="R512" s="97">
        <f t="shared" si="186"/>
        <v>1865818.0343880004</v>
      </c>
      <c r="S512" s="98">
        <v>13767862.756032003</v>
      </c>
      <c r="T512" s="97"/>
      <c r="U512" s="100">
        <f t="shared" si="169"/>
        <v>435357.54135720007</v>
      </c>
      <c r="V512" s="107">
        <f t="shared" si="170"/>
        <v>1817444.9742372003</v>
      </c>
      <c r="W512" s="91"/>
      <c r="X512" s="159">
        <v>1.6718159999999997</v>
      </c>
      <c r="Y512" s="144">
        <f t="shared" si="190"/>
        <v>183070.8</v>
      </c>
      <c r="Z512" s="106">
        <f t="shared" si="191"/>
        <v>306061</v>
      </c>
      <c r="AA512" s="159">
        <v>41.484482999999997</v>
      </c>
      <c r="AB512" s="132">
        <v>188562.924</v>
      </c>
      <c r="AC512" s="106">
        <f t="shared" si="192"/>
        <v>7822435</v>
      </c>
      <c r="AD512" s="108">
        <f t="shared" si="193"/>
        <v>9510583.4328799993</v>
      </c>
      <c r="AE512" s="199"/>
      <c r="AF512" s="199"/>
    </row>
    <row r="513" spans="1:243" ht="15" x14ac:dyDescent="0.2">
      <c r="A513" s="114" t="s">
        <v>150</v>
      </c>
      <c r="B513" s="103" t="s">
        <v>1215</v>
      </c>
      <c r="C513" s="102" t="s">
        <v>1008</v>
      </c>
      <c r="D513" s="103" t="s">
        <v>11</v>
      </c>
      <c r="E513" s="104">
        <v>0.95199300000000076</v>
      </c>
      <c r="F513" s="48">
        <v>31002</v>
      </c>
      <c r="G513" s="115">
        <f t="shared" si="189"/>
        <v>29513.686986000022</v>
      </c>
      <c r="H513" s="95"/>
      <c r="I513" s="95"/>
      <c r="J513" s="96"/>
      <c r="K513" s="96"/>
      <c r="L513" s="91"/>
      <c r="M513" s="91"/>
      <c r="N513" s="91"/>
      <c r="O513" s="91"/>
      <c r="P513" s="91"/>
      <c r="Q513" s="91"/>
      <c r="R513" s="97">
        <f t="shared" si="186"/>
        <v>39843.477431100029</v>
      </c>
      <c r="S513" s="98">
        <v>179331.38143199997</v>
      </c>
      <c r="T513" s="97"/>
      <c r="U513" s="100">
        <f t="shared" ref="U513:U572" si="194">+G513*$U$7</f>
        <v>9296.8114005900079</v>
      </c>
      <c r="V513" s="107">
        <f t="shared" ref="V513:V572" si="195">+G513+U513</f>
        <v>38810.498386590029</v>
      </c>
      <c r="W513" s="91"/>
      <c r="X513" s="159">
        <v>0.20368799999999998</v>
      </c>
      <c r="Y513" s="144">
        <f t="shared" si="190"/>
        <v>32087.07</v>
      </c>
      <c r="Z513" s="106">
        <f t="shared" si="191"/>
        <v>6536</v>
      </c>
      <c r="AA513" s="159">
        <v>5.0543189999999996</v>
      </c>
      <c r="AB513" s="132">
        <v>33049.682099999998</v>
      </c>
      <c r="AC513" s="106">
        <f t="shared" si="192"/>
        <v>167044</v>
      </c>
      <c r="AD513" s="108">
        <f t="shared" si="193"/>
        <v>203093.68698600002</v>
      </c>
      <c r="AE513" s="199"/>
      <c r="AF513" s="199"/>
    </row>
    <row r="514" spans="1:243" ht="45" x14ac:dyDescent="0.2">
      <c r="A514" s="91"/>
      <c r="B514" s="103" t="s">
        <v>1216</v>
      </c>
      <c r="C514" s="102" t="s">
        <v>119</v>
      </c>
      <c r="D514" s="103" t="s">
        <v>5</v>
      </c>
      <c r="E514" s="104">
        <v>1.5330000000000013</v>
      </c>
      <c r="F514" s="48">
        <v>276850</v>
      </c>
      <c r="G514" s="115">
        <f t="shared" si="189"/>
        <v>424411.05000000034</v>
      </c>
      <c r="H514" s="117"/>
      <c r="I514" s="117"/>
      <c r="J514" s="118"/>
      <c r="K514" s="118"/>
      <c r="L514" s="119"/>
      <c r="M514" s="119"/>
      <c r="N514" s="119"/>
      <c r="O514" s="119"/>
      <c r="P514" s="119"/>
      <c r="Q514" s="119"/>
      <c r="R514" s="97">
        <f t="shared" si="186"/>
        <v>572954.91750000045</v>
      </c>
      <c r="S514" s="120">
        <v>4227831.72</v>
      </c>
      <c r="T514" s="121"/>
      <c r="U514" s="100">
        <f t="shared" si="194"/>
        <v>133689.4807500001</v>
      </c>
      <c r="V514" s="107">
        <f t="shared" si="195"/>
        <v>558100.53075000038</v>
      </c>
      <c r="W514" s="119"/>
      <c r="X514" s="159">
        <v>0.32799999999999996</v>
      </c>
      <c r="Y514" s="144">
        <f t="shared" si="190"/>
        <v>286539.75</v>
      </c>
      <c r="Z514" s="106">
        <f t="shared" si="191"/>
        <v>93985</v>
      </c>
      <c r="AA514" s="159">
        <v>8.1389999999999993</v>
      </c>
      <c r="AB514" s="132">
        <v>295135.9425</v>
      </c>
      <c r="AC514" s="106">
        <f t="shared" si="192"/>
        <v>2402111</v>
      </c>
      <c r="AD514" s="108">
        <f t="shared" si="193"/>
        <v>2920507.0500000003</v>
      </c>
      <c r="AE514" s="199"/>
      <c r="AF514" s="199"/>
    </row>
    <row r="515" spans="1:243" ht="30" customHeight="1" x14ac:dyDescent="0.2">
      <c r="A515" s="91"/>
      <c r="B515" s="103" t="s">
        <v>1217</v>
      </c>
      <c r="C515" s="102" t="s">
        <v>1009</v>
      </c>
      <c r="D515" s="103" t="s">
        <v>8</v>
      </c>
      <c r="E515" s="104">
        <v>12.570599999999999</v>
      </c>
      <c r="F515" s="48">
        <f>722622+(722622*0.1)+(722622*0.05)+((722622*0.05)*0.19)</f>
        <v>837880.20899999992</v>
      </c>
      <c r="G515" s="115">
        <f t="shared" si="189"/>
        <v>10532656.955255399</v>
      </c>
      <c r="H515" s="117"/>
      <c r="I515" s="117"/>
      <c r="J515" s="118"/>
      <c r="K515" s="118"/>
      <c r="L515" s="119"/>
      <c r="M515" s="119"/>
      <c r="N515" s="119"/>
      <c r="O515" s="119"/>
      <c r="P515" s="119"/>
      <c r="Q515" s="119"/>
      <c r="R515" s="97">
        <f t="shared" si="186"/>
        <v>14219086.889594788</v>
      </c>
      <c r="S515" s="120">
        <v>92753339.136299998</v>
      </c>
      <c r="T515" s="121"/>
      <c r="U515" s="100">
        <f t="shared" si="194"/>
        <v>3317786.9409054504</v>
      </c>
      <c r="V515" s="107">
        <f t="shared" si="195"/>
        <v>13850443.896160848</v>
      </c>
      <c r="W515" s="119"/>
      <c r="X515" s="159">
        <v>2.6895999999999995</v>
      </c>
      <c r="Y515" s="144">
        <f t="shared" si="190"/>
        <v>867206.0163149999</v>
      </c>
      <c r="Z515" s="106">
        <f t="shared" si="191"/>
        <v>2332437</v>
      </c>
      <c r="AA515" s="159">
        <v>66.739800000000002</v>
      </c>
      <c r="AB515" s="132">
        <v>893222.19680444989</v>
      </c>
      <c r="AC515" s="106">
        <f t="shared" si="192"/>
        <v>59613471</v>
      </c>
      <c r="AD515" s="108">
        <f t="shared" si="193"/>
        <v>72478564.955255404</v>
      </c>
      <c r="AE515" s="199"/>
      <c r="AF515" s="199"/>
    </row>
    <row r="516" spans="1:243" ht="15" x14ac:dyDescent="0.2">
      <c r="A516" s="91"/>
      <c r="B516" s="103" t="s">
        <v>1218</v>
      </c>
      <c r="C516" s="102" t="s">
        <v>805</v>
      </c>
      <c r="D516" s="103" t="s">
        <v>5</v>
      </c>
      <c r="E516" s="104">
        <v>0.61320000000000041</v>
      </c>
      <c r="F516" s="48">
        <v>450000</v>
      </c>
      <c r="G516" s="115">
        <f t="shared" si="189"/>
        <v>275940.00000000017</v>
      </c>
      <c r="H516" s="117"/>
      <c r="I516" s="117"/>
      <c r="J516" s="118"/>
      <c r="K516" s="118"/>
      <c r="L516" s="119"/>
      <c r="M516" s="119"/>
      <c r="N516" s="119"/>
      <c r="O516" s="119"/>
      <c r="P516" s="119"/>
      <c r="Q516" s="119"/>
      <c r="R516" s="97">
        <f t="shared" si="186"/>
        <v>372519.00000000023</v>
      </c>
      <c r="S516" s="120">
        <v>2430000</v>
      </c>
      <c r="T516" s="121"/>
      <c r="U516" s="100">
        <f t="shared" si="194"/>
        <v>86921.100000000049</v>
      </c>
      <c r="V516" s="107">
        <f t="shared" si="195"/>
        <v>362861.10000000021</v>
      </c>
      <c r="W516" s="119"/>
      <c r="X516" s="159">
        <v>0.13119999999999998</v>
      </c>
      <c r="Y516" s="144">
        <f>(F516*3.5%)+F516</f>
        <v>465750</v>
      </c>
      <c r="Z516" s="106">
        <f t="shared" si="191"/>
        <v>61106</v>
      </c>
      <c r="AA516" s="159">
        <v>3.2555999999999998</v>
      </c>
      <c r="AB516" s="132">
        <v>479722.5</v>
      </c>
      <c r="AC516" s="106">
        <f t="shared" si="192"/>
        <v>1561785</v>
      </c>
      <c r="AD516" s="108">
        <f t="shared" si="193"/>
        <v>1898831.0000000002</v>
      </c>
      <c r="AE516" s="199"/>
      <c r="AF516" s="199"/>
    </row>
    <row r="517" spans="1:243" x14ac:dyDescent="0.2">
      <c r="A517" s="91"/>
      <c r="B517" s="103"/>
      <c r="C517" s="102"/>
      <c r="D517" s="103"/>
      <c r="E517" s="102"/>
      <c r="F517" s="106"/>
      <c r="G517" s="108"/>
      <c r="H517" s="95"/>
      <c r="I517" s="95"/>
      <c r="J517" s="96"/>
      <c r="K517" s="96"/>
      <c r="L517" s="91"/>
      <c r="M517" s="91"/>
      <c r="N517" s="91"/>
      <c r="O517" s="91"/>
      <c r="P517" s="91"/>
      <c r="Q517" s="91"/>
      <c r="R517" s="97">
        <f t="shared" si="186"/>
        <v>0</v>
      </c>
      <c r="S517" s="98">
        <v>0</v>
      </c>
      <c r="T517" s="97"/>
      <c r="U517" s="100">
        <f t="shared" si="194"/>
        <v>0</v>
      </c>
      <c r="V517" s="107">
        <f t="shared" si="195"/>
        <v>0</v>
      </c>
      <c r="W517" s="91"/>
      <c r="X517" s="108"/>
      <c r="Y517" s="108"/>
      <c r="Z517" s="108"/>
      <c r="AA517" s="108"/>
      <c r="AB517" s="108"/>
      <c r="AC517" s="108"/>
      <c r="AD517" s="108"/>
    </row>
    <row r="518" spans="1:243" x14ac:dyDescent="0.2">
      <c r="A518" s="91"/>
      <c r="B518" s="103"/>
      <c r="C518" s="207" t="s">
        <v>103</v>
      </c>
      <c r="D518" s="207"/>
      <c r="E518" s="207"/>
      <c r="F518" s="208"/>
      <c r="G518" s="123">
        <f>SUM(G509:G517)/2</f>
        <v>12940695.63396531</v>
      </c>
      <c r="H518" s="95"/>
      <c r="I518" s="95"/>
      <c r="J518" s="96"/>
      <c r="K518" s="96"/>
      <c r="L518" s="91"/>
      <c r="M518" s="91"/>
      <c r="N518" s="91"/>
      <c r="O518" s="91"/>
      <c r="P518" s="91"/>
      <c r="Q518" s="91"/>
      <c r="R518" s="121">
        <f t="shared" si="186"/>
        <v>17469939.105853166</v>
      </c>
      <c r="S518" s="98">
        <v>115737184.79603189</v>
      </c>
      <c r="T518" s="97"/>
      <c r="U518" s="100">
        <f t="shared" si="194"/>
        <v>4076319.1246990724</v>
      </c>
      <c r="V518" s="107">
        <f t="shared" si="195"/>
        <v>17017014.758664381</v>
      </c>
      <c r="W518" s="91"/>
      <c r="X518" s="123"/>
      <c r="Y518" s="123"/>
      <c r="Z518" s="123">
        <f>SUM(Z509:Z517)/2</f>
        <v>2865692</v>
      </c>
      <c r="AA518" s="123"/>
      <c r="AB518" s="123"/>
      <c r="AC518" s="123">
        <f>SUM(AC509:AC517)/2</f>
        <v>73242658</v>
      </c>
      <c r="AD518" s="123">
        <f>SUM(AD509:AD517)/2</f>
        <v>89049045.633965313</v>
      </c>
    </row>
    <row r="519" spans="1:243" x14ac:dyDescent="0.2">
      <c r="A519" s="91"/>
      <c r="B519" s="103"/>
      <c r="C519" s="102"/>
      <c r="D519" s="103"/>
      <c r="E519" s="102"/>
      <c r="F519" s="106"/>
      <c r="G519" s="110"/>
      <c r="H519" s="95"/>
      <c r="I519" s="95"/>
      <c r="J519" s="96"/>
      <c r="K519" s="96"/>
      <c r="L519" s="91"/>
      <c r="M519" s="91"/>
      <c r="N519" s="91"/>
      <c r="O519" s="91"/>
      <c r="P519" s="91"/>
      <c r="Q519" s="91"/>
      <c r="R519" s="97">
        <f t="shared" si="186"/>
        <v>0</v>
      </c>
      <c r="S519" s="98">
        <v>0</v>
      </c>
      <c r="T519" s="97"/>
      <c r="U519" s="100">
        <f t="shared" si="194"/>
        <v>0</v>
      </c>
      <c r="V519" s="107">
        <f t="shared" si="195"/>
        <v>0</v>
      </c>
      <c r="W519" s="91"/>
      <c r="X519" s="91"/>
      <c r="Y519" s="91"/>
      <c r="Z519" s="110"/>
      <c r="AA519" s="91"/>
      <c r="AB519" s="91"/>
      <c r="AC519" s="110"/>
      <c r="AD519" s="110"/>
    </row>
    <row r="520" spans="1:243" x14ac:dyDescent="0.2">
      <c r="A520" s="91"/>
      <c r="B520" s="86">
        <v>18</v>
      </c>
      <c r="C520" s="209" t="s">
        <v>606</v>
      </c>
      <c r="D520" s="209"/>
      <c r="E520" s="209"/>
      <c r="F520" s="210"/>
      <c r="G520" s="124"/>
      <c r="H520" s="95"/>
      <c r="I520" s="95"/>
      <c r="J520" s="96"/>
      <c r="K520" s="96"/>
      <c r="L520" s="91"/>
      <c r="M520" s="91"/>
      <c r="N520" s="91"/>
      <c r="O520" s="91"/>
      <c r="P520" s="91"/>
      <c r="Q520" s="91"/>
      <c r="R520" s="97">
        <f t="shared" si="186"/>
        <v>0</v>
      </c>
      <c r="S520" s="98">
        <v>0</v>
      </c>
      <c r="T520" s="97"/>
      <c r="U520" s="100">
        <f t="shared" si="194"/>
        <v>0</v>
      </c>
      <c r="V520" s="107">
        <f t="shared" si="195"/>
        <v>0</v>
      </c>
      <c r="W520" s="91"/>
      <c r="X520" s="124"/>
      <c r="Y520" s="124"/>
      <c r="Z520" s="124"/>
      <c r="AA520" s="124"/>
      <c r="AB520" s="124"/>
      <c r="AC520" s="124"/>
      <c r="AD520" s="124"/>
    </row>
    <row r="521" spans="1:243" s="41" customFormat="1" ht="15" x14ac:dyDescent="0.2">
      <c r="A521" s="91"/>
      <c r="B521" s="156" t="s">
        <v>795</v>
      </c>
      <c r="C521" s="93" t="s">
        <v>793</v>
      </c>
      <c r="D521" s="92"/>
      <c r="E521" s="160"/>
      <c r="F521" s="93"/>
      <c r="G521" s="113">
        <f>SUM(G522:G524)</f>
        <v>0</v>
      </c>
      <c r="H521" s="95"/>
      <c r="I521" s="95"/>
      <c r="J521" s="96"/>
      <c r="K521" s="96"/>
      <c r="L521" s="129"/>
      <c r="M521" s="129"/>
      <c r="N521" s="91"/>
      <c r="O521" s="91"/>
      <c r="P521" s="91"/>
      <c r="Q521" s="91"/>
      <c r="R521" s="97">
        <f t="shared" si="186"/>
        <v>0</v>
      </c>
      <c r="S521" s="98">
        <v>4194929.25</v>
      </c>
      <c r="T521" s="97"/>
      <c r="U521" s="100">
        <f t="shared" si="194"/>
        <v>0</v>
      </c>
      <c r="V521" s="107">
        <f t="shared" si="195"/>
        <v>0</v>
      </c>
      <c r="W521" s="91"/>
      <c r="X521" s="113"/>
      <c r="Y521" s="113"/>
      <c r="Z521" s="113">
        <f>SUM(Z522:Z524)</f>
        <v>2632571</v>
      </c>
      <c r="AA521" s="113"/>
      <c r="AB521" s="113"/>
      <c r="AC521" s="113">
        <f>SUM(AC522:AC524)</f>
        <v>0</v>
      </c>
      <c r="AD521" s="94">
        <f>G521+Z521+AC521</f>
        <v>2632571</v>
      </c>
      <c r="AE521" s="197"/>
      <c r="AF521" s="197"/>
      <c r="AG521" s="197"/>
      <c r="AH521" s="197"/>
      <c r="AI521" s="197"/>
      <c r="AJ521" s="197"/>
      <c r="AK521" s="197"/>
      <c r="AL521" s="197"/>
      <c r="AM521" s="197"/>
      <c r="AN521" s="197"/>
      <c r="AO521" s="197"/>
      <c r="AP521" s="197"/>
      <c r="AQ521" s="197"/>
      <c r="AR521" s="197"/>
      <c r="AS521" s="197"/>
      <c r="AT521" s="197"/>
      <c r="AU521" s="197"/>
      <c r="AV521" s="197"/>
      <c r="AW521" s="197"/>
      <c r="AX521" s="197"/>
      <c r="AY521" s="197"/>
      <c r="AZ521" s="197"/>
      <c r="BA521" s="197"/>
      <c r="BB521" s="197"/>
      <c r="BC521" s="197"/>
      <c r="BD521" s="197"/>
      <c r="BE521" s="197"/>
      <c r="BF521" s="197"/>
      <c r="BG521" s="197"/>
      <c r="BH521" s="197"/>
      <c r="BI521" s="197"/>
      <c r="BJ521" s="197"/>
      <c r="BK521" s="197"/>
      <c r="BL521" s="197"/>
      <c r="BM521" s="197"/>
      <c r="BN521" s="197"/>
      <c r="BO521" s="197"/>
      <c r="BP521" s="197"/>
      <c r="BQ521" s="197"/>
      <c r="BR521" s="197"/>
      <c r="BS521" s="197"/>
      <c r="BT521" s="197"/>
      <c r="BU521" s="197"/>
      <c r="BV521" s="197"/>
      <c r="BW521" s="197"/>
      <c r="BX521" s="197"/>
      <c r="BY521" s="197"/>
      <c r="BZ521" s="197"/>
      <c r="CA521" s="197"/>
      <c r="CB521" s="197"/>
      <c r="CC521" s="197"/>
      <c r="CD521" s="197"/>
      <c r="CE521" s="197"/>
      <c r="CF521" s="197"/>
      <c r="CG521" s="197"/>
      <c r="CH521" s="197"/>
      <c r="CI521" s="197"/>
      <c r="CJ521" s="197"/>
      <c r="CK521" s="197"/>
      <c r="CL521" s="197"/>
      <c r="CM521" s="197"/>
      <c r="CN521" s="197"/>
      <c r="CO521" s="197"/>
      <c r="CP521" s="197"/>
      <c r="CQ521" s="197"/>
      <c r="CR521" s="197"/>
      <c r="CS521" s="197"/>
      <c r="CT521" s="197"/>
      <c r="CU521" s="197"/>
      <c r="CV521" s="197"/>
      <c r="CW521" s="197"/>
      <c r="CX521" s="197"/>
      <c r="CY521" s="197"/>
      <c r="CZ521" s="197"/>
      <c r="DA521" s="197"/>
      <c r="DB521" s="197"/>
      <c r="DC521" s="197"/>
      <c r="DD521" s="197"/>
      <c r="DE521" s="197"/>
      <c r="DF521" s="197"/>
      <c r="DG521" s="197"/>
      <c r="DH521" s="197"/>
      <c r="DI521" s="197"/>
      <c r="DJ521" s="197"/>
      <c r="DK521" s="197"/>
      <c r="DL521" s="197"/>
      <c r="DM521" s="197"/>
      <c r="DN521" s="197"/>
      <c r="DO521" s="197"/>
      <c r="DP521" s="197"/>
      <c r="DQ521" s="197"/>
      <c r="DR521" s="197"/>
      <c r="DS521" s="197"/>
      <c r="DT521" s="197"/>
      <c r="DU521" s="197"/>
      <c r="DV521" s="197"/>
      <c r="DW521" s="197"/>
      <c r="DX521" s="197"/>
      <c r="DY521" s="197"/>
      <c r="DZ521" s="197"/>
      <c r="EA521" s="197"/>
      <c r="EB521" s="197"/>
      <c r="EC521" s="197"/>
      <c r="ED521" s="197"/>
      <c r="EE521" s="197"/>
      <c r="EF521" s="197"/>
      <c r="EG521" s="197"/>
      <c r="EH521" s="197"/>
      <c r="EI521" s="197"/>
      <c r="EJ521" s="197"/>
      <c r="EK521" s="197"/>
      <c r="EL521" s="197"/>
      <c r="EM521" s="197"/>
      <c r="EN521" s="197"/>
      <c r="EO521" s="197"/>
      <c r="EP521" s="197"/>
      <c r="EQ521" s="197"/>
      <c r="ER521" s="197"/>
      <c r="ES521" s="197"/>
      <c r="ET521" s="197"/>
      <c r="EU521" s="197"/>
      <c r="EV521" s="197"/>
      <c r="EW521" s="197"/>
      <c r="EX521" s="197"/>
      <c r="EY521" s="197"/>
      <c r="EZ521" s="197"/>
      <c r="FA521" s="197"/>
      <c r="FB521" s="197"/>
      <c r="FC521" s="197"/>
      <c r="FD521" s="197"/>
      <c r="FE521" s="197"/>
      <c r="FF521" s="197"/>
      <c r="FG521" s="197"/>
      <c r="FH521" s="197"/>
      <c r="FI521" s="197"/>
      <c r="FJ521" s="197"/>
      <c r="FK521" s="197"/>
      <c r="FL521" s="197"/>
      <c r="FM521" s="197"/>
      <c r="FN521" s="197"/>
      <c r="FO521" s="197"/>
      <c r="FP521" s="197"/>
      <c r="FQ521" s="197"/>
      <c r="FR521" s="197"/>
      <c r="FS521" s="197"/>
      <c r="FT521" s="197"/>
      <c r="FU521" s="197"/>
      <c r="FV521" s="197"/>
      <c r="FW521" s="197"/>
      <c r="FX521" s="197"/>
      <c r="FY521" s="197"/>
      <c r="FZ521" s="197"/>
      <c r="GA521" s="197"/>
      <c r="GB521" s="197"/>
      <c r="GC521" s="197"/>
      <c r="GD521" s="197"/>
      <c r="GE521" s="197"/>
      <c r="GF521" s="197"/>
      <c r="GG521" s="197"/>
      <c r="GH521" s="197"/>
      <c r="GI521" s="197"/>
      <c r="GJ521" s="197"/>
      <c r="GK521" s="197"/>
      <c r="GL521" s="197"/>
      <c r="GM521" s="197"/>
      <c r="GN521" s="197"/>
      <c r="GO521" s="197"/>
      <c r="GP521" s="197"/>
      <c r="GQ521" s="197"/>
      <c r="GR521" s="197"/>
      <c r="GS521" s="197"/>
      <c r="GT521" s="197"/>
      <c r="GU521" s="197"/>
      <c r="GV521" s="197"/>
      <c r="GW521" s="197"/>
      <c r="GX521" s="197"/>
      <c r="GY521" s="197"/>
      <c r="GZ521" s="197"/>
      <c r="HA521" s="197"/>
      <c r="HB521" s="197"/>
      <c r="HC521" s="197"/>
      <c r="HD521" s="197"/>
      <c r="HE521" s="197"/>
      <c r="HF521" s="197"/>
      <c r="HG521" s="197"/>
      <c r="HH521" s="197"/>
      <c r="HI521" s="197"/>
      <c r="HJ521" s="197"/>
      <c r="HK521" s="197"/>
      <c r="HL521" s="197"/>
      <c r="HM521" s="197"/>
      <c r="HN521" s="197"/>
      <c r="HO521" s="197"/>
      <c r="HP521" s="197"/>
      <c r="HQ521" s="197"/>
      <c r="HR521" s="197"/>
      <c r="HS521" s="197"/>
      <c r="HT521" s="197"/>
      <c r="HU521" s="197"/>
      <c r="HV521" s="197"/>
      <c r="HW521" s="197"/>
      <c r="HX521" s="197"/>
      <c r="HY521" s="197"/>
      <c r="HZ521" s="197"/>
      <c r="IA521" s="197"/>
      <c r="IB521" s="197"/>
      <c r="IC521" s="197"/>
      <c r="ID521" s="197"/>
      <c r="IE521" s="197"/>
      <c r="IF521" s="197"/>
      <c r="IG521" s="197"/>
      <c r="IH521" s="197"/>
      <c r="II521" s="197"/>
    </row>
    <row r="522" spans="1:243" s="41" customFormat="1" ht="15" x14ac:dyDescent="0.2">
      <c r="A522" s="91">
        <v>300222</v>
      </c>
      <c r="B522" s="103" t="s">
        <v>796</v>
      </c>
      <c r="C522" s="102" t="s">
        <v>960</v>
      </c>
      <c r="D522" s="103" t="s">
        <v>5</v>
      </c>
      <c r="E522" s="104"/>
      <c r="F522" s="106">
        <v>30104</v>
      </c>
      <c r="G522" s="106">
        <f>F522*E522</f>
        <v>0</v>
      </c>
      <c r="H522" s="95"/>
      <c r="I522" s="95"/>
      <c r="J522" s="96"/>
      <c r="K522" s="96"/>
      <c r="L522" s="91"/>
      <c r="M522" s="91"/>
      <c r="N522" s="91"/>
      <c r="O522" s="91"/>
      <c r="P522" s="91"/>
      <c r="Q522" s="91"/>
      <c r="R522" s="97">
        <f t="shared" si="186"/>
        <v>0</v>
      </c>
      <c r="S522" s="98">
        <v>993937.5</v>
      </c>
      <c r="T522" s="97"/>
      <c r="U522" s="100">
        <f t="shared" si="194"/>
        <v>0</v>
      </c>
      <c r="V522" s="107">
        <f t="shared" si="195"/>
        <v>0</v>
      </c>
      <c r="W522" s="91"/>
      <c r="X522" s="132">
        <v>21.792999999999999</v>
      </c>
      <c r="Y522" s="144">
        <f t="shared" ref="Y522:Y524" si="196">(F522*3.5%)+F522</f>
        <v>31157.64</v>
      </c>
      <c r="Z522" s="106">
        <f t="shared" ref="Z522:Z524" si="197">ROUND(X522*Y522,0)</f>
        <v>679018</v>
      </c>
      <c r="AA522" s="132">
        <f>E522*26%</f>
        <v>0</v>
      </c>
      <c r="AB522" s="132">
        <f>(F522*6.5%)+F522</f>
        <v>32060.76</v>
      </c>
      <c r="AC522" s="106">
        <f t="shared" ref="AC522:AC524" si="198">ROUND(AA522*AB522,0)</f>
        <v>0</v>
      </c>
      <c r="AD522" s="108">
        <f t="shared" ref="AD522:AD524" si="199">G522+Z522+AC522</f>
        <v>679018</v>
      </c>
      <c r="AE522" s="197"/>
      <c r="AF522" s="197"/>
      <c r="AG522" s="197"/>
      <c r="AH522" s="197"/>
      <c r="AI522" s="197"/>
      <c r="AJ522" s="197"/>
      <c r="AK522" s="197"/>
      <c r="AL522" s="197"/>
      <c r="AM522" s="197"/>
      <c r="AN522" s="197"/>
      <c r="AO522" s="197"/>
      <c r="AP522" s="197"/>
      <c r="AQ522" s="197"/>
      <c r="AR522" s="197"/>
      <c r="AS522" s="197"/>
      <c r="AT522" s="197"/>
      <c r="AU522" s="197"/>
      <c r="AV522" s="197"/>
      <c r="AW522" s="197"/>
      <c r="AX522" s="197"/>
      <c r="AY522" s="197"/>
      <c r="AZ522" s="197"/>
      <c r="BA522" s="197"/>
      <c r="BB522" s="197"/>
      <c r="BC522" s="197"/>
      <c r="BD522" s="197"/>
      <c r="BE522" s="197"/>
      <c r="BF522" s="197"/>
      <c r="BG522" s="197"/>
      <c r="BH522" s="197"/>
      <c r="BI522" s="197"/>
      <c r="BJ522" s="197"/>
      <c r="BK522" s="197"/>
      <c r="BL522" s="197"/>
      <c r="BM522" s="197"/>
      <c r="BN522" s="197"/>
      <c r="BO522" s="197"/>
      <c r="BP522" s="197"/>
      <c r="BQ522" s="197"/>
      <c r="BR522" s="197"/>
      <c r="BS522" s="197"/>
      <c r="BT522" s="197"/>
      <c r="BU522" s="197"/>
      <c r="BV522" s="197"/>
      <c r="BW522" s="197"/>
      <c r="BX522" s="197"/>
      <c r="BY522" s="197"/>
      <c r="BZ522" s="197"/>
      <c r="CA522" s="197"/>
      <c r="CB522" s="197"/>
      <c r="CC522" s="197"/>
      <c r="CD522" s="197"/>
      <c r="CE522" s="197"/>
      <c r="CF522" s="197"/>
      <c r="CG522" s="197"/>
      <c r="CH522" s="197"/>
      <c r="CI522" s="197"/>
      <c r="CJ522" s="197"/>
      <c r="CK522" s="197"/>
      <c r="CL522" s="197"/>
      <c r="CM522" s="197"/>
      <c r="CN522" s="197"/>
      <c r="CO522" s="197"/>
      <c r="CP522" s="197"/>
      <c r="CQ522" s="197"/>
      <c r="CR522" s="197"/>
      <c r="CS522" s="197"/>
      <c r="CT522" s="197"/>
      <c r="CU522" s="197"/>
      <c r="CV522" s="197"/>
      <c r="CW522" s="197"/>
      <c r="CX522" s="197"/>
      <c r="CY522" s="197"/>
      <c r="CZ522" s="197"/>
      <c r="DA522" s="197"/>
      <c r="DB522" s="197"/>
      <c r="DC522" s="197"/>
      <c r="DD522" s="197"/>
      <c r="DE522" s="197"/>
      <c r="DF522" s="197"/>
      <c r="DG522" s="197"/>
      <c r="DH522" s="197"/>
      <c r="DI522" s="197"/>
      <c r="DJ522" s="197"/>
      <c r="DK522" s="197"/>
      <c r="DL522" s="197"/>
      <c r="DM522" s="197"/>
      <c r="DN522" s="197"/>
      <c r="DO522" s="197"/>
      <c r="DP522" s="197"/>
      <c r="DQ522" s="197"/>
      <c r="DR522" s="197"/>
      <c r="DS522" s="197"/>
      <c r="DT522" s="197"/>
      <c r="DU522" s="197"/>
      <c r="DV522" s="197"/>
      <c r="DW522" s="197"/>
      <c r="DX522" s="197"/>
      <c r="DY522" s="197"/>
      <c r="DZ522" s="197"/>
      <c r="EA522" s="197"/>
      <c r="EB522" s="197"/>
      <c r="EC522" s="197"/>
      <c r="ED522" s="197"/>
      <c r="EE522" s="197"/>
      <c r="EF522" s="197"/>
      <c r="EG522" s="197"/>
      <c r="EH522" s="197"/>
      <c r="EI522" s="197"/>
      <c r="EJ522" s="197"/>
      <c r="EK522" s="197"/>
      <c r="EL522" s="197"/>
      <c r="EM522" s="197"/>
      <c r="EN522" s="197"/>
      <c r="EO522" s="197"/>
      <c r="EP522" s="197"/>
      <c r="EQ522" s="197"/>
      <c r="ER522" s="197"/>
      <c r="ES522" s="197"/>
      <c r="ET522" s="197"/>
      <c r="EU522" s="197"/>
      <c r="EV522" s="197"/>
      <c r="EW522" s="197"/>
      <c r="EX522" s="197"/>
      <c r="EY522" s="197"/>
      <c r="EZ522" s="197"/>
      <c r="FA522" s="197"/>
      <c r="FB522" s="197"/>
      <c r="FC522" s="197"/>
      <c r="FD522" s="197"/>
      <c r="FE522" s="197"/>
      <c r="FF522" s="197"/>
      <c r="FG522" s="197"/>
      <c r="FH522" s="197"/>
      <c r="FI522" s="197"/>
      <c r="FJ522" s="197"/>
      <c r="FK522" s="197"/>
      <c r="FL522" s="197"/>
      <c r="FM522" s="197"/>
      <c r="FN522" s="197"/>
      <c r="FO522" s="197"/>
      <c r="FP522" s="197"/>
      <c r="FQ522" s="197"/>
      <c r="FR522" s="197"/>
      <c r="FS522" s="197"/>
      <c r="FT522" s="197"/>
      <c r="FU522" s="197"/>
      <c r="FV522" s="197"/>
      <c r="FW522" s="197"/>
      <c r="FX522" s="197"/>
      <c r="FY522" s="197"/>
      <c r="FZ522" s="197"/>
      <c r="GA522" s="197"/>
      <c r="GB522" s="197"/>
      <c r="GC522" s="197"/>
      <c r="GD522" s="197"/>
      <c r="GE522" s="197"/>
      <c r="GF522" s="197"/>
      <c r="GG522" s="197"/>
      <c r="GH522" s="197"/>
      <c r="GI522" s="197"/>
      <c r="GJ522" s="197"/>
      <c r="GK522" s="197"/>
      <c r="GL522" s="197"/>
      <c r="GM522" s="197"/>
      <c r="GN522" s="197"/>
      <c r="GO522" s="197"/>
      <c r="GP522" s="197"/>
      <c r="GQ522" s="197"/>
      <c r="GR522" s="197"/>
      <c r="GS522" s="197"/>
      <c r="GT522" s="197"/>
      <c r="GU522" s="197"/>
      <c r="GV522" s="197"/>
      <c r="GW522" s="197"/>
      <c r="GX522" s="197"/>
      <c r="GY522" s="197"/>
      <c r="GZ522" s="197"/>
      <c r="HA522" s="197"/>
      <c r="HB522" s="197"/>
      <c r="HC522" s="197"/>
      <c r="HD522" s="197"/>
      <c r="HE522" s="197"/>
      <c r="HF522" s="197"/>
      <c r="HG522" s="197"/>
      <c r="HH522" s="197"/>
      <c r="HI522" s="197"/>
      <c r="HJ522" s="197"/>
      <c r="HK522" s="197"/>
      <c r="HL522" s="197"/>
      <c r="HM522" s="197"/>
      <c r="HN522" s="197"/>
      <c r="HO522" s="197"/>
      <c r="HP522" s="197"/>
      <c r="HQ522" s="197"/>
      <c r="HR522" s="197"/>
      <c r="HS522" s="197"/>
      <c r="HT522" s="197"/>
      <c r="HU522" s="197"/>
      <c r="HV522" s="197"/>
      <c r="HW522" s="197"/>
      <c r="HX522" s="197"/>
      <c r="HY522" s="197"/>
      <c r="HZ522" s="197"/>
      <c r="IA522" s="197"/>
      <c r="IB522" s="197"/>
      <c r="IC522" s="197"/>
      <c r="ID522" s="197"/>
      <c r="IE522" s="197"/>
      <c r="IF522" s="197"/>
      <c r="IG522" s="197"/>
      <c r="IH522" s="197"/>
      <c r="II522" s="197"/>
    </row>
    <row r="523" spans="1:243" s="41" customFormat="1" ht="15" x14ac:dyDescent="0.2">
      <c r="A523" s="91">
        <v>300211</v>
      </c>
      <c r="B523" s="103" t="s">
        <v>1219</v>
      </c>
      <c r="C523" s="102" t="s">
        <v>608</v>
      </c>
      <c r="D523" s="103" t="s">
        <v>5</v>
      </c>
      <c r="E523" s="104"/>
      <c r="F523" s="106">
        <v>35089</v>
      </c>
      <c r="G523" s="106">
        <f t="shared" ref="G523:G524" si="200">F523*E523</f>
        <v>0</v>
      </c>
      <c r="H523" s="95"/>
      <c r="I523" s="95"/>
      <c r="J523" s="96"/>
      <c r="K523" s="96"/>
      <c r="L523" s="91"/>
      <c r="M523" s="91"/>
      <c r="N523" s="91"/>
      <c r="O523" s="91"/>
      <c r="P523" s="91"/>
      <c r="Q523" s="91"/>
      <c r="R523" s="97">
        <f t="shared" si="186"/>
        <v>0</v>
      </c>
      <c r="S523" s="98">
        <v>2210827.5</v>
      </c>
      <c r="T523" s="97"/>
      <c r="U523" s="100">
        <f t="shared" si="194"/>
        <v>0</v>
      </c>
      <c r="V523" s="107">
        <f t="shared" si="195"/>
        <v>0</v>
      </c>
      <c r="W523" s="91"/>
      <c r="X523" s="132">
        <v>34.624600000000001</v>
      </c>
      <c r="Y523" s="144">
        <f t="shared" si="196"/>
        <v>36317.114999999998</v>
      </c>
      <c r="Z523" s="106">
        <f t="shared" si="197"/>
        <v>1257466</v>
      </c>
      <c r="AA523" s="132">
        <f t="shared" ref="AA523:AA524" si="201">E523*26%</f>
        <v>0</v>
      </c>
      <c r="AB523" s="132">
        <f t="shared" ref="AB523:AB524" si="202">(F523*6.5%)+F523</f>
        <v>37369.785000000003</v>
      </c>
      <c r="AC523" s="106">
        <f t="shared" si="198"/>
        <v>0</v>
      </c>
      <c r="AD523" s="108">
        <f t="shared" si="199"/>
        <v>1257466</v>
      </c>
      <c r="AE523" s="197"/>
      <c r="AF523" s="197"/>
      <c r="AG523" s="197"/>
      <c r="AH523" s="197"/>
      <c r="AI523" s="197"/>
      <c r="AJ523" s="197"/>
      <c r="AK523" s="197"/>
      <c r="AL523" s="197"/>
      <c r="AM523" s="197"/>
      <c r="AN523" s="197"/>
      <c r="AO523" s="197"/>
      <c r="AP523" s="197"/>
      <c r="AQ523" s="197"/>
      <c r="AR523" s="197"/>
      <c r="AS523" s="197"/>
      <c r="AT523" s="197"/>
      <c r="AU523" s="197"/>
      <c r="AV523" s="197"/>
      <c r="AW523" s="197"/>
      <c r="AX523" s="197"/>
      <c r="AY523" s="197"/>
      <c r="AZ523" s="197"/>
      <c r="BA523" s="197"/>
      <c r="BB523" s="197"/>
      <c r="BC523" s="197"/>
      <c r="BD523" s="197"/>
      <c r="BE523" s="197"/>
      <c r="BF523" s="197"/>
      <c r="BG523" s="197"/>
      <c r="BH523" s="197"/>
      <c r="BI523" s="197"/>
      <c r="BJ523" s="197"/>
      <c r="BK523" s="197"/>
      <c r="BL523" s="197"/>
      <c r="BM523" s="197"/>
      <c r="BN523" s="197"/>
      <c r="BO523" s="197"/>
      <c r="BP523" s="197"/>
      <c r="BQ523" s="197"/>
      <c r="BR523" s="197"/>
      <c r="BS523" s="197"/>
      <c r="BT523" s="197"/>
      <c r="BU523" s="197"/>
      <c r="BV523" s="197"/>
      <c r="BW523" s="197"/>
      <c r="BX523" s="197"/>
      <c r="BY523" s="197"/>
      <c r="BZ523" s="197"/>
      <c r="CA523" s="197"/>
      <c r="CB523" s="197"/>
      <c r="CC523" s="197"/>
      <c r="CD523" s="197"/>
      <c r="CE523" s="197"/>
      <c r="CF523" s="197"/>
      <c r="CG523" s="197"/>
      <c r="CH523" s="197"/>
      <c r="CI523" s="197"/>
      <c r="CJ523" s="197"/>
      <c r="CK523" s="197"/>
      <c r="CL523" s="197"/>
      <c r="CM523" s="197"/>
      <c r="CN523" s="197"/>
      <c r="CO523" s="197"/>
      <c r="CP523" s="197"/>
      <c r="CQ523" s="197"/>
      <c r="CR523" s="197"/>
      <c r="CS523" s="197"/>
      <c r="CT523" s="197"/>
      <c r="CU523" s="197"/>
      <c r="CV523" s="197"/>
      <c r="CW523" s="197"/>
      <c r="CX523" s="197"/>
      <c r="CY523" s="197"/>
      <c r="CZ523" s="197"/>
      <c r="DA523" s="197"/>
      <c r="DB523" s="197"/>
      <c r="DC523" s="197"/>
      <c r="DD523" s="197"/>
      <c r="DE523" s="197"/>
      <c r="DF523" s="197"/>
      <c r="DG523" s="197"/>
      <c r="DH523" s="197"/>
      <c r="DI523" s="197"/>
      <c r="DJ523" s="197"/>
      <c r="DK523" s="197"/>
      <c r="DL523" s="197"/>
      <c r="DM523" s="197"/>
      <c r="DN523" s="197"/>
      <c r="DO523" s="197"/>
      <c r="DP523" s="197"/>
      <c r="DQ523" s="197"/>
      <c r="DR523" s="197"/>
      <c r="DS523" s="197"/>
      <c r="DT523" s="197"/>
      <c r="DU523" s="197"/>
      <c r="DV523" s="197"/>
      <c r="DW523" s="197"/>
      <c r="DX523" s="197"/>
      <c r="DY523" s="197"/>
      <c r="DZ523" s="197"/>
      <c r="EA523" s="197"/>
      <c r="EB523" s="197"/>
      <c r="EC523" s="197"/>
      <c r="ED523" s="197"/>
      <c r="EE523" s="197"/>
      <c r="EF523" s="197"/>
      <c r="EG523" s="197"/>
      <c r="EH523" s="197"/>
      <c r="EI523" s="197"/>
      <c r="EJ523" s="197"/>
      <c r="EK523" s="197"/>
      <c r="EL523" s="197"/>
      <c r="EM523" s="197"/>
      <c r="EN523" s="197"/>
      <c r="EO523" s="197"/>
      <c r="EP523" s="197"/>
      <c r="EQ523" s="197"/>
      <c r="ER523" s="197"/>
      <c r="ES523" s="197"/>
      <c r="ET523" s="197"/>
      <c r="EU523" s="197"/>
      <c r="EV523" s="197"/>
      <c r="EW523" s="197"/>
      <c r="EX523" s="197"/>
      <c r="EY523" s="197"/>
      <c r="EZ523" s="197"/>
      <c r="FA523" s="197"/>
      <c r="FB523" s="197"/>
      <c r="FC523" s="197"/>
      <c r="FD523" s="197"/>
      <c r="FE523" s="197"/>
      <c r="FF523" s="197"/>
      <c r="FG523" s="197"/>
      <c r="FH523" s="197"/>
      <c r="FI523" s="197"/>
      <c r="FJ523" s="197"/>
      <c r="FK523" s="197"/>
      <c r="FL523" s="197"/>
      <c r="FM523" s="197"/>
      <c r="FN523" s="197"/>
      <c r="FO523" s="197"/>
      <c r="FP523" s="197"/>
      <c r="FQ523" s="197"/>
      <c r="FR523" s="197"/>
      <c r="FS523" s="197"/>
      <c r="FT523" s="197"/>
      <c r="FU523" s="197"/>
      <c r="FV523" s="197"/>
      <c r="FW523" s="197"/>
      <c r="FX523" s="197"/>
      <c r="FY523" s="197"/>
      <c r="FZ523" s="197"/>
      <c r="GA523" s="197"/>
      <c r="GB523" s="197"/>
      <c r="GC523" s="197"/>
      <c r="GD523" s="197"/>
      <c r="GE523" s="197"/>
      <c r="GF523" s="197"/>
      <c r="GG523" s="197"/>
      <c r="GH523" s="197"/>
      <c r="GI523" s="197"/>
      <c r="GJ523" s="197"/>
      <c r="GK523" s="197"/>
      <c r="GL523" s="197"/>
      <c r="GM523" s="197"/>
      <c r="GN523" s="197"/>
      <c r="GO523" s="197"/>
      <c r="GP523" s="197"/>
      <c r="GQ523" s="197"/>
      <c r="GR523" s="197"/>
      <c r="GS523" s="197"/>
      <c r="GT523" s="197"/>
      <c r="GU523" s="197"/>
      <c r="GV523" s="197"/>
      <c r="GW523" s="197"/>
      <c r="GX523" s="197"/>
      <c r="GY523" s="197"/>
      <c r="GZ523" s="197"/>
      <c r="HA523" s="197"/>
      <c r="HB523" s="197"/>
      <c r="HC523" s="197"/>
      <c r="HD523" s="197"/>
      <c r="HE523" s="197"/>
      <c r="HF523" s="197"/>
      <c r="HG523" s="197"/>
      <c r="HH523" s="197"/>
      <c r="HI523" s="197"/>
      <c r="HJ523" s="197"/>
      <c r="HK523" s="197"/>
      <c r="HL523" s="197"/>
      <c r="HM523" s="197"/>
      <c r="HN523" s="197"/>
      <c r="HO523" s="197"/>
      <c r="HP523" s="197"/>
      <c r="HQ523" s="197"/>
      <c r="HR523" s="197"/>
      <c r="HS523" s="197"/>
      <c r="HT523" s="197"/>
      <c r="HU523" s="197"/>
      <c r="HV523" s="197"/>
      <c r="HW523" s="197"/>
      <c r="HX523" s="197"/>
      <c r="HY523" s="197"/>
      <c r="HZ523" s="197"/>
      <c r="IA523" s="197"/>
      <c r="IB523" s="197"/>
      <c r="IC523" s="197"/>
      <c r="ID523" s="197"/>
      <c r="IE523" s="197"/>
      <c r="IF523" s="197"/>
      <c r="IG523" s="197"/>
      <c r="IH523" s="197"/>
      <c r="II523" s="197"/>
    </row>
    <row r="524" spans="1:243" ht="15" x14ac:dyDescent="0.2">
      <c r="A524" s="91">
        <v>300220</v>
      </c>
      <c r="B524" s="103" t="s">
        <v>1220</v>
      </c>
      <c r="C524" s="102" t="s">
        <v>609</v>
      </c>
      <c r="D524" s="103" t="s">
        <v>21</v>
      </c>
      <c r="E524" s="104"/>
      <c r="F524" s="106">
        <v>111522</v>
      </c>
      <c r="G524" s="106">
        <f t="shared" si="200"/>
        <v>0</v>
      </c>
      <c r="H524" s="95"/>
      <c r="I524" s="95"/>
      <c r="J524" s="96"/>
      <c r="K524" s="96"/>
      <c r="L524" s="91"/>
      <c r="M524" s="91"/>
      <c r="N524" s="91"/>
      <c r="O524" s="91"/>
      <c r="P524" s="91"/>
      <c r="Q524" s="91"/>
      <c r="R524" s="97">
        <f t="shared" si="186"/>
        <v>0</v>
      </c>
      <c r="S524" s="98">
        <v>990164.25</v>
      </c>
      <c r="T524" s="97"/>
      <c r="U524" s="100">
        <f t="shared" si="194"/>
        <v>0</v>
      </c>
      <c r="V524" s="107">
        <f t="shared" si="195"/>
        <v>0</v>
      </c>
      <c r="W524" s="91"/>
      <c r="X524" s="132">
        <v>6.0306300000000004</v>
      </c>
      <c r="Y524" s="144">
        <f t="shared" si="196"/>
        <v>115425.27</v>
      </c>
      <c r="Z524" s="106">
        <f t="shared" si="197"/>
        <v>696087</v>
      </c>
      <c r="AA524" s="132">
        <f t="shared" si="201"/>
        <v>0</v>
      </c>
      <c r="AB524" s="132">
        <f t="shared" si="202"/>
        <v>118770.93</v>
      </c>
      <c r="AC524" s="106">
        <f t="shared" si="198"/>
        <v>0</v>
      </c>
      <c r="AD524" s="108">
        <f t="shared" si="199"/>
        <v>696087</v>
      </c>
    </row>
    <row r="525" spans="1:243" x14ac:dyDescent="0.2">
      <c r="A525" s="91"/>
      <c r="B525" s="103"/>
      <c r="C525" s="102"/>
      <c r="D525" s="103"/>
      <c r="E525" s="104"/>
      <c r="F525" s="106"/>
      <c r="G525" s="106"/>
      <c r="H525" s="95"/>
      <c r="I525" s="95"/>
      <c r="J525" s="96"/>
      <c r="K525" s="96"/>
      <c r="L525" s="91"/>
      <c r="M525" s="91"/>
      <c r="N525" s="91"/>
      <c r="O525" s="91"/>
      <c r="P525" s="91"/>
      <c r="Q525" s="91"/>
      <c r="R525" s="97">
        <f t="shared" si="186"/>
        <v>0</v>
      </c>
      <c r="S525" s="98">
        <v>0</v>
      </c>
      <c r="T525" s="97"/>
      <c r="U525" s="100">
        <f t="shared" si="194"/>
        <v>0</v>
      </c>
      <c r="V525" s="107">
        <f t="shared" si="195"/>
        <v>0</v>
      </c>
      <c r="W525" s="91"/>
      <c r="X525" s="106"/>
      <c r="Y525" s="106"/>
      <c r="Z525" s="106"/>
      <c r="AA525" s="106"/>
      <c r="AB525" s="106"/>
      <c r="AC525" s="106"/>
      <c r="AD525" s="106"/>
    </row>
    <row r="526" spans="1:243" x14ac:dyDescent="0.2">
      <c r="A526" s="91"/>
      <c r="B526" s="103"/>
      <c r="C526" s="207" t="s">
        <v>607</v>
      </c>
      <c r="D526" s="207"/>
      <c r="E526" s="207"/>
      <c r="F526" s="208"/>
      <c r="G526" s="123">
        <f>SUM(G521:G524)/2</f>
        <v>0</v>
      </c>
      <c r="H526" s="95"/>
      <c r="I526" s="95"/>
      <c r="J526" s="96"/>
      <c r="K526" s="96"/>
      <c r="L526" s="91"/>
      <c r="M526" s="91"/>
      <c r="N526" s="91"/>
      <c r="O526" s="91"/>
      <c r="P526" s="91"/>
      <c r="Q526" s="91"/>
      <c r="R526" s="121">
        <f t="shared" si="186"/>
        <v>0</v>
      </c>
      <c r="S526" s="98">
        <v>4194929.25</v>
      </c>
      <c r="T526" s="97"/>
      <c r="U526" s="100">
        <f t="shared" si="194"/>
        <v>0</v>
      </c>
      <c r="V526" s="107">
        <f t="shared" si="195"/>
        <v>0</v>
      </c>
      <c r="W526" s="91"/>
      <c r="X526" s="123"/>
      <c r="Y526" s="123"/>
      <c r="Z526" s="123">
        <f>SUM(Z521:Z524)/2</f>
        <v>2632571</v>
      </c>
      <c r="AA526" s="123"/>
      <c r="AB526" s="123"/>
      <c r="AC526" s="123">
        <f>SUM(AC521:AC524)/2</f>
        <v>0</v>
      </c>
      <c r="AD526" s="123">
        <f>SUM(AD521:AD524)/2</f>
        <v>2632571</v>
      </c>
    </row>
    <row r="527" spans="1:243" ht="30" customHeight="1" x14ac:dyDescent="0.2">
      <c r="A527" s="91"/>
      <c r="B527" s="103"/>
      <c r="C527" s="102"/>
      <c r="D527" s="103"/>
      <c r="E527" s="102"/>
      <c r="F527" s="106"/>
      <c r="G527" s="110"/>
      <c r="H527" s="95"/>
      <c r="I527" s="95"/>
      <c r="J527" s="96"/>
      <c r="K527" s="96"/>
      <c r="L527" s="91"/>
      <c r="M527" s="91"/>
      <c r="N527" s="91"/>
      <c r="O527" s="91"/>
      <c r="P527" s="91"/>
      <c r="Q527" s="91"/>
      <c r="R527" s="97">
        <f t="shared" si="186"/>
        <v>0</v>
      </c>
      <c r="S527" s="98">
        <v>0</v>
      </c>
      <c r="T527" s="97"/>
      <c r="U527" s="100">
        <f t="shared" si="194"/>
        <v>0</v>
      </c>
      <c r="V527" s="107">
        <f t="shared" si="195"/>
        <v>0</v>
      </c>
      <c r="W527" s="91"/>
      <c r="X527" s="110"/>
      <c r="Y527" s="110"/>
      <c r="Z527" s="110"/>
      <c r="AA527" s="110"/>
      <c r="AB527" s="110"/>
      <c r="AC527" s="110"/>
      <c r="AD527" s="110"/>
    </row>
    <row r="528" spans="1:243" x14ac:dyDescent="0.2">
      <c r="A528" s="91"/>
      <c r="B528" s="86">
        <v>19</v>
      </c>
      <c r="C528" s="209" t="s">
        <v>92</v>
      </c>
      <c r="D528" s="209"/>
      <c r="E528" s="209"/>
      <c r="F528" s="210"/>
      <c r="G528" s="124"/>
      <c r="H528" s="95"/>
      <c r="I528" s="95"/>
      <c r="J528" s="96"/>
      <c r="K528" s="96"/>
      <c r="L528" s="91"/>
      <c r="M528" s="91"/>
      <c r="N528" s="91"/>
      <c r="O528" s="91"/>
      <c r="P528" s="91"/>
      <c r="Q528" s="91"/>
      <c r="R528" s="97">
        <f t="shared" si="186"/>
        <v>0</v>
      </c>
      <c r="S528" s="98">
        <v>0</v>
      </c>
      <c r="T528" s="97"/>
      <c r="U528" s="100">
        <f t="shared" si="194"/>
        <v>0</v>
      </c>
      <c r="V528" s="107">
        <f t="shared" si="195"/>
        <v>0</v>
      </c>
      <c r="W528" s="91"/>
      <c r="X528" s="124"/>
      <c r="Y528" s="124"/>
      <c r="Z528" s="124"/>
      <c r="AA528" s="124"/>
      <c r="AB528" s="124"/>
      <c r="AC528" s="124"/>
      <c r="AD528" s="124"/>
    </row>
    <row r="529" spans="1:243" ht="15" x14ac:dyDescent="0.2">
      <c r="A529" s="91"/>
      <c r="B529" s="156" t="s">
        <v>1221</v>
      </c>
      <c r="C529" s="93" t="s">
        <v>794</v>
      </c>
      <c r="D529" s="92"/>
      <c r="E529" s="160"/>
      <c r="F529" s="93"/>
      <c r="G529" s="113">
        <f>SUM(G530)</f>
        <v>4528333.5701834997</v>
      </c>
      <c r="H529" s="95"/>
      <c r="I529" s="95"/>
      <c r="J529" s="96"/>
      <c r="K529" s="96"/>
      <c r="L529" s="129"/>
      <c r="M529" s="129"/>
      <c r="N529" s="91"/>
      <c r="O529" s="91"/>
      <c r="P529" s="91"/>
      <c r="Q529" s="91"/>
      <c r="R529" s="97">
        <f t="shared" si="186"/>
        <v>6113250.3197477246</v>
      </c>
      <c r="S529" s="98">
        <v>29187540</v>
      </c>
      <c r="T529" s="97"/>
      <c r="U529" s="100">
        <f t="shared" si="194"/>
        <v>1426425.0746078023</v>
      </c>
      <c r="V529" s="107">
        <f t="shared" si="195"/>
        <v>5954758.6447913023</v>
      </c>
      <c r="W529" s="91"/>
      <c r="X529" s="113"/>
      <c r="Y529" s="113"/>
      <c r="Z529" s="113">
        <f>SUM(Z530)</f>
        <v>28294541</v>
      </c>
      <c r="AA529" s="113"/>
      <c r="AB529" s="113"/>
      <c r="AC529" s="113">
        <f>SUM(AC530)</f>
        <v>0</v>
      </c>
      <c r="AD529" s="94">
        <f>G529+Z529+AC529</f>
        <v>32822874.570183501</v>
      </c>
    </row>
    <row r="530" spans="1:243" ht="15" x14ac:dyDescent="0.2">
      <c r="A530" s="91">
        <v>310107</v>
      </c>
      <c r="B530" s="103" t="s">
        <v>1222</v>
      </c>
      <c r="C530" s="102" t="s">
        <v>93</v>
      </c>
      <c r="D530" s="103" t="s">
        <v>94</v>
      </c>
      <c r="E530" s="104">
        <v>0.85263149999999999</v>
      </c>
      <c r="F530" s="106">
        <v>5311009</v>
      </c>
      <c r="G530" s="106">
        <f>F530*E530</f>
        <v>4528333.5701834997</v>
      </c>
      <c r="H530" s="95"/>
      <c r="I530" s="95"/>
      <c r="J530" s="96"/>
      <c r="K530" s="96"/>
      <c r="L530" s="91"/>
      <c r="M530" s="91"/>
      <c r="N530" s="91"/>
      <c r="O530" s="91"/>
      <c r="P530" s="91"/>
      <c r="Q530" s="91"/>
      <c r="R530" s="97">
        <f t="shared" si="186"/>
        <v>6113250.3197477246</v>
      </c>
      <c r="S530" s="98">
        <v>29187540</v>
      </c>
      <c r="T530" s="97"/>
      <c r="U530" s="100">
        <f t="shared" si="194"/>
        <v>1426425.0746078023</v>
      </c>
      <c r="V530" s="107">
        <f t="shared" si="195"/>
        <v>5954758.6447913023</v>
      </c>
      <c r="W530" s="91"/>
      <c r="X530" s="132">
        <v>5.1473684999999998</v>
      </c>
      <c r="Y530" s="144">
        <f t="shared" ref="Y530" si="203">(F530*3.5%)+F530</f>
        <v>5496894.3150000004</v>
      </c>
      <c r="Z530" s="106">
        <f t="shared" ref="Z530" si="204">ROUND(X530*Y530,0)</f>
        <v>28294541</v>
      </c>
      <c r="AA530" s="106"/>
      <c r="AB530" s="106"/>
      <c r="AC530" s="106"/>
      <c r="AD530" s="108">
        <f t="shared" ref="AD530" si="205">G530+Z530+AC530</f>
        <v>32822874.570183501</v>
      </c>
    </row>
    <row r="531" spans="1:243" x14ac:dyDescent="0.2">
      <c r="A531" s="91"/>
      <c r="B531" s="103"/>
      <c r="C531" s="102"/>
      <c r="D531" s="103"/>
      <c r="E531" s="102"/>
      <c r="F531" s="108"/>
      <c r="G531" s="108"/>
      <c r="H531" s="95"/>
      <c r="I531" s="95"/>
      <c r="J531" s="96"/>
      <c r="K531" s="96"/>
      <c r="L531" s="91"/>
      <c r="M531" s="91"/>
      <c r="N531" s="91"/>
      <c r="O531" s="91"/>
      <c r="P531" s="91"/>
      <c r="Q531" s="91"/>
      <c r="R531" s="97">
        <f t="shared" si="186"/>
        <v>0</v>
      </c>
      <c r="S531" s="98">
        <v>0</v>
      </c>
      <c r="T531" s="97"/>
      <c r="U531" s="100">
        <f t="shared" si="194"/>
        <v>0</v>
      </c>
      <c r="V531" s="107">
        <f t="shared" si="195"/>
        <v>0</v>
      </c>
      <c r="W531" s="91"/>
      <c r="X531" s="108"/>
      <c r="Y531" s="108"/>
      <c r="Z531" s="108"/>
      <c r="AA531" s="108"/>
      <c r="AB531" s="108"/>
      <c r="AC531" s="108"/>
      <c r="AD531" s="108"/>
    </row>
    <row r="532" spans="1:243" x14ac:dyDescent="0.2">
      <c r="A532" s="91"/>
      <c r="B532" s="103"/>
      <c r="C532" s="207" t="s">
        <v>104</v>
      </c>
      <c r="D532" s="207"/>
      <c r="E532" s="207"/>
      <c r="F532" s="208"/>
      <c r="G532" s="123">
        <f>SUM(G529:G531)/2</f>
        <v>4528333.5701834997</v>
      </c>
      <c r="H532" s="95"/>
      <c r="I532" s="95"/>
      <c r="J532" s="96"/>
      <c r="K532" s="96"/>
      <c r="L532" s="91"/>
      <c r="M532" s="91"/>
      <c r="N532" s="91"/>
      <c r="O532" s="91"/>
      <c r="P532" s="91"/>
      <c r="Q532" s="91"/>
      <c r="R532" s="121">
        <f t="shared" si="186"/>
        <v>6113250.3197477246</v>
      </c>
      <c r="S532" s="98">
        <v>29187540</v>
      </c>
      <c r="T532" s="97"/>
      <c r="U532" s="100">
        <f t="shared" si="194"/>
        <v>1426425.0746078023</v>
      </c>
      <c r="V532" s="107">
        <f t="shared" si="195"/>
        <v>5954758.6447913023</v>
      </c>
      <c r="W532" s="91"/>
      <c r="X532" s="123"/>
      <c r="Y532" s="123"/>
      <c r="Z532" s="123">
        <f>SUM(Z529:Z531)/2</f>
        <v>28294541</v>
      </c>
      <c r="AA532" s="123"/>
      <c r="AB532" s="123"/>
      <c r="AC532" s="123">
        <f>SUM(AC529:AC531)/2</f>
        <v>0</v>
      </c>
      <c r="AD532" s="123">
        <f>SUM(AD527:AD530)/2</f>
        <v>32822874.570183501</v>
      </c>
    </row>
    <row r="533" spans="1:243" x14ac:dyDescent="0.2">
      <c r="A533" s="91"/>
      <c r="B533" s="103"/>
      <c r="C533" s="102"/>
      <c r="D533" s="103"/>
      <c r="E533" s="122">
        <f>6-E530</f>
        <v>5.1473684999999998</v>
      </c>
      <c r="F533" s="102"/>
      <c r="G533" s="132"/>
      <c r="H533" s="95"/>
      <c r="I533" s="95"/>
      <c r="J533" s="96"/>
      <c r="K533" s="96"/>
      <c r="L533" s="91"/>
      <c r="M533" s="91"/>
      <c r="N533" s="91"/>
      <c r="O533" s="91"/>
      <c r="P533" s="91"/>
      <c r="Q533" s="91"/>
      <c r="R533" s="97"/>
      <c r="S533" s="98"/>
      <c r="T533" s="97"/>
      <c r="U533" s="100"/>
      <c r="V533" s="107"/>
      <c r="W533" s="91"/>
      <c r="X533" s="144"/>
      <c r="Y533" s="102"/>
      <c r="Z533" s="105"/>
      <c r="AA533" s="102"/>
      <c r="AB533" s="102"/>
      <c r="AC533" s="102"/>
      <c r="AD533" s="102"/>
    </row>
    <row r="534" spans="1:243" x14ac:dyDescent="0.2">
      <c r="A534" s="91"/>
      <c r="B534" s="103"/>
      <c r="C534" s="102"/>
      <c r="D534" s="103"/>
      <c r="E534" s="102"/>
      <c r="F534" s="102"/>
      <c r="G534" s="110"/>
      <c r="H534" s="95"/>
      <c r="I534" s="95"/>
      <c r="J534" s="96"/>
      <c r="K534" s="96"/>
      <c r="L534" s="91"/>
      <c r="M534" s="91"/>
      <c r="N534" s="91"/>
      <c r="O534" s="91"/>
      <c r="P534" s="91"/>
      <c r="Q534" s="91"/>
      <c r="R534" s="97">
        <f>R532+R526+R518+R506+R466+R367+R209+R171+R168+R156+R146+R133+R118+R86+R80+R69+R64+R42+R34</f>
        <v>2222948239.4606724</v>
      </c>
      <c r="S534" s="98"/>
      <c r="T534" s="97"/>
      <c r="U534" s="100">
        <f t="shared" si="194"/>
        <v>0</v>
      </c>
      <c r="V534" s="107">
        <f t="shared" si="195"/>
        <v>0</v>
      </c>
      <c r="W534" s="91"/>
      <c r="X534" s="110"/>
      <c r="Y534" s="110"/>
      <c r="Z534" s="110"/>
      <c r="AA534" s="110"/>
      <c r="AB534" s="110"/>
      <c r="AC534" s="110"/>
      <c r="AD534" s="110"/>
    </row>
    <row r="535" spans="1:243" ht="30" customHeight="1" x14ac:dyDescent="0.2">
      <c r="A535" s="91"/>
      <c r="B535" s="213" t="s">
        <v>105</v>
      </c>
      <c r="C535" s="213"/>
      <c r="D535" s="213"/>
      <c r="E535" s="213"/>
      <c r="F535" s="213"/>
      <c r="G535" s="113">
        <f>G532+G526+G518+G506+G466+G367+G209+G168+G156+G146+G133+G118+G86+G80+G69+G64+G42+G34+G183</f>
        <v>1646628325.5264242</v>
      </c>
      <c r="H535" s="95"/>
      <c r="I535" s="95"/>
      <c r="J535" s="96"/>
      <c r="K535" s="96"/>
      <c r="L535" s="91"/>
      <c r="M535" s="91"/>
      <c r="N535" s="91"/>
      <c r="O535" s="91"/>
      <c r="P535" s="91"/>
      <c r="Q535" s="91"/>
      <c r="R535" s="97">
        <f>(G535*0.3)+G535+(G535*0.05)</f>
        <v>2222948239.4606729</v>
      </c>
      <c r="S535" s="98">
        <v>7675015772.2539434</v>
      </c>
      <c r="T535" s="97"/>
      <c r="U535" s="100">
        <f t="shared" si="194"/>
        <v>518687922.54082364</v>
      </c>
      <c r="V535" s="107">
        <f t="shared" si="195"/>
        <v>2165316248.0672479</v>
      </c>
      <c r="W535" s="91"/>
      <c r="X535" s="113"/>
      <c r="Y535" s="113"/>
      <c r="Z535" s="113">
        <f>Z532+Z526+Z518+Z506+Z466+Z367+Z209+Z168+Z156+Z146+Z133+Z118+Z86+Z80+Z69+Z64+Z42+Z34+Z183</f>
        <v>5075643395.4759998</v>
      </c>
      <c r="AA535" s="113"/>
      <c r="AB535" s="113"/>
      <c r="AC535" s="113">
        <f>AC532+AC526+AC518+AC506+AC466+AC367+AC209+AC168+AC156+AC146+AC133+AC118+AC86+AC80+AC69+AC64+AC42+AC34+AC183</f>
        <v>592623720</v>
      </c>
      <c r="AD535" s="113">
        <f>AD532+AD526+AD518+AD506+AD466+AD367+AD209+AD168+AD156+AD146+AD133+AD118+AD86+AD80+AD69+AD64+AD42+AD34+AD183</f>
        <v>7314895441.0024242</v>
      </c>
    </row>
    <row r="536" spans="1:243" x14ac:dyDescent="0.2">
      <c r="A536" s="91"/>
      <c r="B536" s="103"/>
      <c r="C536" s="102"/>
      <c r="D536" s="103"/>
      <c r="E536" s="102"/>
      <c r="F536" s="102"/>
      <c r="G536" s="108"/>
      <c r="H536" s="95"/>
      <c r="I536" s="95"/>
      <c r="J536" s="96"/>
      <c r="K536" s="96"/>
      <c r="L536" s="91"/>
      <c r="M536" s="91"/>
      <c r="N536" s="91"/>
      <c r="O536" s="91"/>
      <c r="P536" s="91"/>
      <c r="Q536" s="91"/>
      <c r="R536" s="97"/>
      <c r="S536" s="91"/>
      <c r="T536" s="97"/>
      <c r="U536" s="100">
        <f t="shared" si="194"/>
        <v>0</v>
      </c>
      <c r="V536" s="107">
        <f t="shared" si="195"/>
        <v>0</v>
      </c>
      <c r="W536" s="91"/>
      <c r="X536" s="91"/>
      <c r="Y536" s="91"/>
      <c r="Z536" s="108"/>
      <c r="AA536" s="91"/>
      <c r="AB536" s="91"/>
      <c r="AC536" s="108"/>
      <c r="AD536" s="108"/>
    </row>
    <row r="537" spans="1:243" ht="15" x14ac:dyDescent="0.2">
      <c r="A537" s="91"/>
      <c r="B537" s="103"/>
      <c r="C537" s="102"/>
      <c r="D537" s="103"/>
      <c r="E537" s="46" t="s">
        <v>95</v>
      </c>
      <c r="F537" s="47">
        <v>0.315</v>
      </c>
      <c r="G537" s="48">
        <f>$G$535*F537</f>
        <v>518687922.54082364</v>
      </c>
      <c r="H537" s="95"/>
      <c r="I537" s="95"/>
      <c r="J537" s="96"/>
      <c r="K537" s="96"/>
      <c r="L537" s="91"/>
      <c r="M537" s="91"/>
      <c r="N537" s="91"/>
      <c r="O537" s="91"/>
      <c r="P537" s="91"/>
      <c r="Q537" s="91"/>
      <c r="R537" s="97"/>
      <c r="S537" s="91"/>
      <c r="T537" s="97"/>
      <c r="U537" s="100">
        <f t="shared" si="194"/>
        <v>163386695.60035944</v>
      </c>
      <c r="V537" s="107">
        <f t="shared" si="195"/>
        <v>682074618.14118314</v>
      </c>
      <c r="W537" s="91"/>
      <c r="X537" s="91"/>
      <c r="Y537" s="91"/>
      <c r="Z537" s="48">
        <f>Z535*F537</f>
        <v>1598827669.57494</v>
      </c>
      <c r="AA537" s="91"/>
      <c r="AB537" s="91"/>
      <c r="AC537" s="48">
        <f>AC535*F537</f>
        <v>186676471.80000001</v>
      </c>
      <c r="AD537" s="48">
        <f>AD535*F537</f>
        <v>2304192063.9157639</v>
      </c>
    </row>
    <row r="538" spans="1:243" ht="15" x14ac:dyDescent="0.2">
      <c r="A538" s="91"/>
      <c r="B538" s="103"/>
      <c r="C538" s="102"/>
      <c r="D538" s="103"/>
      <c r="E538" s="46" t="s">
        <v>129</v>
      </c>
      <c r="F538" s="47">
        <v>0</v>
      </c>
      <c r="G538" s="48">
        <f>$G$535*F538</f>
        <v>0</v>
      </c>
      <c r="H538" s="95"/>
      <c r="I538" s="95"/>
      <c r="J538" s="96"/>
      <c r="K538" s="96"/>
      <c r="L538" s="91"/>
      <c r="M538" s="91"/>
      <c r="N538" s="91"/>
      <c r="O538" s="91"/>
      <c r="P538" s="91"/>
      <c r="Q538" s="91"/>
      <c r="R538" s="97"/>
      <c r="S538" s="91"/>
      <c r="T538" s="97"/>
      <c r="U538" s="100">
        <f t="shared" si="194"/>
        <v>0</v>
      </c>
      <c r="V538" s="107">
        <f t="shared" si="195"/>
        <v>0</v>
      </c>
      <c r="W538" s="91"/>
      <c r="X538" s="91"/>
      <c r="Y538" s="91"/>
      <c r="Z538" s="48">
        <f>$G$535*F538</f>
        <v>0</v>
      </c>
      <c r="AA538" s="91"/>
      <c r="AB538" s="91"/>
      <c r="AC538" s="48"/>
      <c r="AD538" s="48"/>
    </row>
    <row r="539" spans="1:243" ht="15" x14ac:dyDescent="0.2">
      <c r="A539" s="91"/>
      <c r="B539" s="103"/>
      <c r="C539" s="102"/>
      <c r="D539" s="103"/>
      <c r="E539" s="46" t="s">
        <v>128</v>
      </c>
      <c r="F539" s="49">
        <v>0.05</v>
      </c>
      <c r="G539" s="48">
        <f>$G$535*F539</f>
        <v>82331416.276321217</v>
      </c>
      <c r="H539" s="95"/>
      <c r="I539" s="95"/>
      <c r="J539" s="96"/>
      <c r="K539" s="96"/>
      <c r="L539" s="91"/>
      <c r="M539" s="91"/>
      <c r="N539" s="91"/>
      <c r="O539" s="91"/>
      <c r="P539" s="91"/>
      <c r="Q539" s="91"/>
      <c r="R539" s="97"/>
      <c r="S539" s="91"/>
      <c r="T539" s="97"/>
      <c r="U539" s="100">
        <f t="shared" si="194"/>
        <v>25934396.127041183</v>
      </c>
      <c r="V539" s="107">
        <f t="shared" si="195"/>
        <v>108265812.40336239</v>
      </c>
      <c r="W539" s="91"/>
      <c r="X539" s="91"/>
      <c r="Y539" s="91"/>
      <c r="Z539" s="48">
        <f>$Z$535*F539</f>
        <v>253782169.77380002</v>
      </c>
      <c r="AA539" s="91"/>
      <c r="AB539" s="91"/>
      <c r="AC539" s="48">
        <f>$AC$535*F539</f>
        <v>29631186</v>
      </c>
      <c r="AD539" s="48">
        <f>$AD$535*F539</f>
        <v>365744772.05012125</v>
      </c>
    </row>
    <row r="540" spans="1:243" x14ac:dyDescent="0.2">
      <c r="A540" s="91"/>
      <c r="B540" s="103"/>
      <c r="C540" s="102"/>
      <c r="D540" s="103"/>
      <c r="E540" s="102"/>
      <c r="F540" s="161"/>
      <c r="G540" s="106"/>
      <c r="H540" s="95"/>
      <c r="I540" s="95"/>
      <c r="J540" s="96"/>
      <c r="K540" s="96"/>
      <c r="L540" s="91"/>
      <c r="M540" s="91"/>
      <c r="N540" s="91"/>
      <c r="O540" s="91"/>
      <c r="P540" s="91"/>
      <c r="Q540" s="91"/>
      <c r="R540" s="97"/>
      <c r="S540" s="91"/>
      <c r="T540" s="97"/>
      <c r="U540" s="100">
        <f t="shared" si="194"/>
        <v>0</v>
      </c>
      <c r="V540" s="107">
        <f t="shared" si="195"/>
        <v>0</v>
      </c>
      <c r="W540" s="91"/>
      <c r="X540" s="91"/>
      <c r="Y540" s="91"/>
      <c r="Z540" s="91"/>
      <c r="AA540" s="91"/>
      <c r="AB540" s="91"/>
      <c r="AC540" s="91"/>
      <c r="AD540" s="91"/>
    </row>
    <row r="541" spans="1:243" x14ac:dyDescent="0.2">
      <c r="A541" s="91"/>
      <c r="B541" s="213" t="s">
        <v>130</v>
      </c>
      <c r="C541" s="213"/>
      <c r="D541" s="213"/>
      <c r="E541" s="213"/>
      <c r="F541" s="213"/>
      <c r="G541" s="113">
        <f>SUM(G537:G539)</f>
        <v>601019338.81714487</v>
      </c>
      <c r="H541" s="95"/>
      <c r="I541" s="95"/>
      <c r="J541" s="96"/>
      <c r="K541" s="96"/>
      <c r="L541" s="91"/>
      <c r="M541" s="91"/>
      <c r="N541" s="91"/>
      <c r="O541" s="91"/>
      <c r="P541" s="91"/>
      <c r="Q541" s="91"/>
      <c r="R541" s="97"/>
      <c r="S541" s="91"/>
      <c r="T541" s="97"/>
      <c r="U541" s="100">
        <f t="shared" si="194"/>
        <v>189321091.72740063</v>
      </c>
      <c r="V541" s="107">
        <f t="shared" si="195"/>
        <v>790340430.54454553</v>
      </c>
      <c r="W541" s="91"/>
      <c r="X541" s="91"/>
      <c r="Y541" s="91"/>
      <c r="Z541" s="113">
        <f>SUM(Z537:Z539)</f>
        <v>1852609839.3487401</v>
      </c>
      <c r="AA541" s="91"/>
      <c r="AB541" s="91"/>
      <c r="AC541" s="113">
        <f>SUM(AC537:AC539)</f>
        <v>216307657.80000001</v>
      </c>
      <c r="AD541" s="113">
        <f>SUM(AD537:AD539)</f>
        <v>2669936835.9658852</v>
      </c>
    </row>
    <row r="542" spans="1:243" x14ac:dyDescent="0.2">
      <c r="A542" s="91"/>
      <c r="B542" s="103"/>
      <c r="C542" s="102"/>
      <c r="D542" s="103"/>
      <c r="E542" s="102"/>
      <c r="F542" s="102"/>
      <c r="G542" s="106"/>
      <c r="H542" s="95"/>
      <c r="I542" s="95"/>
      <c r="J542" s="96"/>
      <c r="K542" s="96"/>
      <c r="L542" s="91"/>
      <c r="M542" s="91"/>
      <c r="N542" s="91"/>
      <c r="O542" s="91"/>
      <c r="P542" s="91"/>
      <c r="Q542" s="91"/>
      <c r="R542" s="97"/>
      <c r="S542" s="91"/>
      <c r="T542" s="97"/>
      <c r="U542" s="100">
        <f t="shared" si="194"/>
        <v>0</v>
      </c>
      <c r="V542" s="107">
        <f t="shared" si="195"/>
        <v>0</v>
      </c>
      <c r="W542" s="91"/>
      <c r="X542" s="91"/>
      <c r="Y542" s="91"/>
      <c r="Z542" s="91"/>
      <c r="AA542" s="91"/>
      <c r="AB542" s="91"/>
      <c r="AC542" s="91"/>
      <c r="AD542" s="91"/>
    </row>
    <row r="543" spans="1:243" s="185" customFormat="1" ht="41" customHeight="1" x14ac:dyDescent="0.2">
      <c r="A543" s="186"/>
      <c r="B543" s="214" t="s">
        <v>141</v>
      </c>
      <c r="C543" s="214"/>
      <c r="D543" s="214"/>
      <c r="E543" s="214"/>
      <c r="F543" s="187"/>
      <c r="G543" s="188">
        <f>G535+G541</f>
        <v>2247647664.3435688</v>
      </c>
      <c r="H543" s="189"/>
      <c r="I543" s="190"/>
      <c r="J543" s="191"/>
      <c r="K543" s="191"/>
      <c r="L543" s="186"/>
      <c r="M543" s="186"/>
      <c r="N543" s="186"/>
      <c r="O543" s="186"/>
      <c r="P543" s="186"/>
      <c r="Q543" s="186"/>
      <c r="R543" s="192"/>
      <c r="S543" s="186"/>
      <c r="T543" s="192"/>
      <c r="U543" s="193">
        <f t="shared" si="194"/>
        <v>708009014.26822412</v>
      </c>
      <c r="V543" s="194">
        <f t="shared" si="195"/>
        <v>2955656678.611793</v>
      </c>
      <c r="W543" s="186"/>
      <c r="X543" s="188"/>
      <c r="Y543" s="188"/>
      <c r="Z543" s="188">
        <f>Z535+Z541</f>
        <v>6928253234.8247395</v>
      </c>
      <c r="AA543" s="188"/>
      <c r="AB543" s="188"/>
      <c r="AC543" s="188">
        <f>AC535+AC541</f>
        <v>808931377.79999995</v>
      </c>
      <c r="AD543" s="195">
        <f>AD535+AD541</f>
        <v>9984832276.9683094</v>
      </c>
      <c r="AE543" s="197"/>
      <c r="AF543" s="197"/>
      <c r="AG543" s="197"/>
      <c r="AH543" s="197"/>
      <c r="AI543" s="197"/>
      <c r="AJ543" s="197"/>
      <c r="AK543" s="197"/>
      <c r="AL543" s="197"/>
      <c r="AM543" s="197"/>
      <c r="AN543" s="197"/>
      <c r="AO543" s="197"/>
      <c r="AP543" s="197"/>
      <c r="AQ543" s="197"/>
      <c r="AR543" s="197"/>
      <c r="AS543" s="197"/>
      <c r="AT543" s="197"/>
      <c r="AU543" s="197"/>
      <c r="AV543" s="197"/>
      <c r="AW543" s="197"/>
      <c r="AX543" s="197"/>
      <c r="AY543" s="197"/>
      <c r="AZ543" s="197"/>
      <c r="BA543" s="197"/>
      <c r="BB543" s="197"/>
      <c r="BC543" s="197"/>
      <c r="BD543" s="197"/>
      <c r="BE543" s="197"/>
      <c r="BF543" s="197"/>
      <c r="BG543" s="197"/>
      <c r="BH543" s="197"/>
      <c r="BI543" s="197"/>
      <c r="BJ543" s="197"/>
      <c r="BK543" s="197"/>
      <c r="BL543" s="197"/>
      <c r="BM543" s="197"/>
      <c r="BN543" s="197"/>
      <c r="BO543" s="197"/>
      <c r="BP543" s="197"/>
      <c r="BQ543" s="197"/>
      <c r="BR543" s="197"/>
      <c r="BS543" s="197"/>
      <c r="BT543" s="197"/>
      <c r="BU543" s="197"/>
      <c r="BV543" s="197"/>
      <c r="BW543" s="197"/>
      <c r="BX543" s="197"/>
      <c r="BY543" s="197"/>
      <c r="BZ543" s="197"/>
      <c r="CA543" s="197"/>
      <c r="CB543" s="197"/>
      <c r="CC543" s="197"/>
      <c r="CD543" s="197"/>
      <c r="CE543" s="197"/>
      <c r="CF543" s="197"/>
      <c r="CG543" s="197"/>
      <c r="CH543" s="197"/>
      <c r="CI543" s="197"/>
      <c r="CJ543" s="197"/>
      <c r="CK543" s="197"/>
      <c r="CL543" s="197"/>
      <c r="CM543" s="197"/>
      <c r="CN543" s="197"/>
      <c r="CO543" s="197"/>
      <c r="CP543" s="197"/>
      <c r="CQ543" s="197"/>
      <c r="CR543" s="197"/>
      <c r="CS543" s="197"/>
      <c r="CT543" s="197"/>
      <c r="CU543" s="197"/>
      <c r="CV543" s="197"/>
      <c r="CW543" s="197"/>
      <c r="CX543" s="197"/>
      <c r="CY543" s="197"/>
      <c r="CZ543" s="197"/>
      <c r="DA543" s="197"/>
      <c r="DB543" s="197"/>
      <c r="DC543" s="197"/>
      <c r="DD543" s="197"/>
      <c r="DE543" s="197"/>
      <c r="DF543" s="197"/>
      <c r="DG543" s="197"/>
      <c r="DH543" s="197"/>
      <c r="DI543" s="197"/>
      <c r="DJ543" s="197"/>
      <c r="DK543" s="197"/>
      <c r="DL543" s="197"/>
      <c r="DM543" s="197"/>
      <c r="DN543" s="197"/>
      <c r="DO543" s="197"/>
      <c r="DP543" s="197"/>
      <c r="DQ543" s="197"/>
      <c r="DR543" s="197"/>
      <c r="DS543" s="197"/>
      <c r="DT543" s="197"/>
      <c r="DU543" s="197"/>
      <c r="DV543" s="197"/>
      <c r="DW543" s="197"/>
      <c r="DX543" s="197"/>
      <c r="DY543" s="197"/>
      <c r="DZ543" s="197"/>
      <c r="EA543" s="197"/>
      <c r="EB543" s="197"/>
      <c r="EC543" s="197"/>
      <c r="ED543" s="197"/>
      <c r="EE543" s="197"/>
      <c r="EF543" s="197"/>
      <c r="EG543" s="197"/>
      <c r="EH543" s="197"/>
      <c r="EI543" s="197"/>
      <c r="EJ543" s="197"/>
      <c r="EK543" s="197"/>
      <c r="EL543" s="197"/>
      <c r="EM543" s="197"/>
      <c r="EN543" s="197"/>
      <c r="EO543" s="197"/>
      <c r="EP543" s="197"/>
      <c r="EQ543" s="197"/>
      <c r="ER543" s="197"/>
      <c r="ES543" s="197"/>
      <c r="ET543" s="197"/>
      <c r="EU543" s="197"/>
      <c r="EV543" s="197"/>
      <c r="EW543" s="197"/>
      <c r="EX543" s="197"/>
      <c r="EY543" s="197"/>
      <c r="EZ543" s="197"/>
      <c r="FA543" s="197"/>
      <c r="FB543" s="197"/>
      <c r="FC543" s="197"/>
      <c r="FD543" s="197"/>
      <c r="FE543" s="197"/>
      <c r="FF543" s="197"/>
      <c r="FG543" s="197"/>
      <c r="FH543" s="197"/>
      <c r="FI543" s="197"/>
      <c r="FJ543" s="197"/>
      <c r="FK543" s="197"/>
      <c r="FL543" s="197"/>
      <c r="FM543" s="197"/>
      <c r="FN543" s="197"/>
      <c r="FO543" s="197"/>
      <c r="FP543" s="197"/>
      <c r="FQ543" s="197"/>
      <c r="FR543" s="197"/>
      <c r="FS543" s="197"/>
      <c r="FT543" s="197"/>
      <c r="FU543" s="197"/>
      <c r="FV543" s="197"/>
      <c r="FW543" s="197"/>
      <c r="FX543" s="197"/>
      <c r="FY543" s="197"/>
      <c r="FZ543" s="197"/>
      <c r="GA543" s="197"/>
      <c r="GB543" s="197"/>
      <c r="GC543" s="197"/>
      <c r="GD543" s="197"/>
      <c r="GE543" s="197"/>
      <c r="GF543" s="197"/>
      <c r="GG543" s="197"/>
      <c r="GH543" s="197"/>
      <c r="GI543" s="197"/>
      <c r="GJ543" s="197"/>
      <c r="GK543" s="197"/>
      <c r="GL543" s="197"/>
      <c r="GM543" s="197"/>
      <c r="GN543" s="197"/>
      <c r="GO543" s="197"/>
      <c r="GP543" s="197"/>
      <c r="GQ543" s="197"/>
      <c r="GR543" s="197"/>
      <c r="GS543" s="197"/>
      <c r="GT543" s="197"/>
      <c r="GU543" s="197"/>
      <c r="GV543" s="197"/>
      <c r="GW543" s="197"/>
      <c r="GX543" s="197"/>
      <c r="GY543" s="197"/>
      <c r="GZ543" s="197"/>
      <c r="HA543" s="197"/>
      <c r="HB543" s="197"/>
      <c r="HC543" s="197"/>
      <c r="HD543" s="197"/>
      <c r="HE543" s="197"/>
      <c r="HF543" s="197"/>
      <c r="HG543" s="197"/>
      <c r="HH543" s="197"/>
      <c r="HI543" s="197"/>
      <c r="HJ543" s="197"/>
      <c r="HK543" s="197"/>
      <c r="HL543" s="197"/>
      <c r="HM543" s="197"/>
      <c r="HN543" s="197"/>
      <c r="HO543" s="197"/>
      <c r="HP543" s="197"/>
      <c r="HQ543" s="197"/>
      <c r="HR543" s="197"/>
      <c r="HS543" s="197"/>
      <c r="HT543" s="197"/>
      <c r="HU543" s="197"/>
      <c r="HV543" s="197"/>
      <c r="HW543" s="197"/>
      <c r="HX543" s="197"/>
      <c r="HY543" s="197"/>
      <c r="HZ543" s="197"/>
      <c r="IA543" s="197"/>
      <c r="IB543" s="197"/>
      <c r="IC543" s="197"/>
      <c r="ID543" s="197"/>
      <c r="IE543" s="197"/>
      <c r="IF543" s="197"/>
      <c r="IG543" s="197"/>
      <c r="IH543" s="197"/>
      <c r="II543" s="197"/>
    </row>
    <row r="544" spans="1:243" x14ac:dyDescent="0.2">
      <c r="A544" s="91"/>
      <c r="B544" s="103"/>
      <c r="C544" s="102"/>
      <c r="D544" s="103"/>
      <c r="E544" s="102"/>
      <c r="F544" s="102"/>
      <c r="G544" s="102"/>
      <c r="H544" s="95"/>
      <c r="I544" s="95"/>
      <c r="J544" s="96"/>
      <c r="K544" s="96"/>
      <c r="L544" s="91"/>
      <c r="M544" s="91"/>
      <c r="N544" s="91"/>
      <c r="O544" s="91"/>
      <c r="P544" s="91"/>
      <c r="Q544" s="91"/>
      <c r="R544" s="97"/>
      <c r="S544" s="91"/>
      <c r="T544" s="97"/>
      <c r="U544" s="100">
        <f t="shared" si="194"/>
        <v>0</v>
      </c>
      <c r="V544" s="107">
        <f t="shared" si="195"/>
        <v>0</v>
      </c>
      <c r="W544" s="91"/>
      <c r="X544" s="91"/>
      <c r="Y544" s="91"/>
      <c r="Z544" s="91"/>
      <c r="AA544" s="91"/>
      <c r="AB544" s="91"/>
      <c r="AC544" s="91"/>
      <c r="AD544" s="91"/>
    </row>
    <row r="545" spans="1:243" ht="15" x14ac:dyDescent="0.2">
      <c r="A545" s="91"/>
      <c r="B545" s="86" t="s">
        <v>96</v>
      </c>
      <c r="C545" s="209" t="s">
        <v>809</v>
      </c>
      <c r="D545" s="209"/>
      <c r="E545" s="209"/>
      <c r="F545" s="210"/>
      <c r="G545" s="162" t="s">
        <v>810</v>
      </c>
      <c r="H545" s="95"/>
      <c r="I545" s="95"/>
      <c r="J545" s="96"/>
      <c r="K545" s="96"/>
      <c r="L545" s="91"/>
      <c r="M545" s="91"/>
      <c r="N545" s="91"/>
      <c r="O545" s="91"/>
      <c r="P545" s="91"/>
      <c r="Q545" s="91"/>
      <c r="R545" s="97"/>
      <c r="S545" s="91"/>
      <c r="T545" s="97"/>
      <c r="U545" s="100" t="e">
        <f t="shared" si="194"/>
        <v>#VALUE!</v>
      </c>
      <c r="V545" s="107" t="e">
        <f t="shared" si="195"/>
        <v>#VALUE!</v>
      </c>
      <c r="W545" s="91"/>
      <c r="X545" s="91"/>
      <c r="Y545" s="91"/>
      <c r="Z545" s="91"/>
      <c r="AA545" s="91"/>
      <c r="AB545" s="91"/>
      <c r="AC545" s="91"/>
      <c r="AD545" s="91"/>
    </row>
    <row r="546" spans="1:243" x14ac:dyDescent="0.2">
      <c r="A546" s="91"/>
      <c r="B546" s="103"/>
      <c r="C546" s="102"/>
      <c r="D546" s="103"/>
      <c r="E546" s="102"/>
      <c r="F546" s="102"/>
      <c r="G546" s="102"/>
      <c r="H546" s="95"/>
      <c r="I546" s="95"/>
      <c r="J546" s="96"/>
      <c r="K546" s="96"/>
      <c r="L546" s="91"/>
      <c r="M546" s="91"/>
      <c r="N546" s="91"/>
      <c r="O546" s="91"/>
      <c r="P546" s="91"/>
      <c r="Q546" s="91"/>
      <c r="R546" s="97"/>
      <c r="S546" s="91"/>
      <c r="T546" s="97"/>
      <c r="U546" s="100">
        <f t="shared" si="194"/>
        <v>0</v>
      </c>
      <c r="V546" s="107">
        <f t="shared" si="195"/>
        <v>0</v>
      </c>
      <c r="W546" s="91"/>
      <c r="X546" s="91"/>
      <c r="Y546" s="91"/>
      <c r="Z546" s="91"/>
      <c r="AA546" s="91"/>
      <c r="AB546" s="91"/>
      <c r="AC546" s="91"/>
      <c r="AD546" s="91"/>
    </row>
    <row r="547" spans="1:243" x14ac:dyDescent="0.2">
      <c r="A547" s="91"/>
      <c r="B547" s="103"/>
      <c r="C547" s="102"/>
      <c r="D547" s="103"/>
      <c r="E547" s="102"/>
      <c r="F547" s="102"/>
      <c r="G547" s="102"/>
      <c r="H547" s="95"/>
      <c r="I547" s="95"/>
      <c r="J547" s="96"/>
      <c r="K547" s="96"/>
      <c r="L547" s="91"/>
      <c r="M547" s="91"/>
      <c r="N547" s="91"/>
      <c r="O547" s="91"/>
      <c r="P547" s="91"/>
      <c r="Q547" s="91"/>
      <c r="R547" s="97"/>
      <c r="S547" s="91"/>
      <c r="T547" s="97"/>
      <c r="U547" s="100">
        <f t="shared" si="194"/>
        <v>0</v>
      </c>
      <c r="V547" s="107">
        <f t="shared" si="195"/>
        <v>0</v>
      </c>
      <c r="W547" s="91"/>
      <c r="X547" s="91"/>
      <c r="Y547" s="91"/>
      <c r="Z547" s="91"/>
      <c r="AA547" s="91"/>
      <c r="AB547" s="91"/>
      <c r="AC547" s="91"/>
      <c r="AD547" s="91"/>
    </row>
    <row r="548" spans="1:243" ht="15" x14ac:dyDescent="0.2">
      <c r="A548" s="91"/>
      <c r="B548" s="156">
        <v>1</v>
      </c>
      <c r="C548" s="93" t="s">
        <v>501</v>
      </c>
      <c r="D548" s="92"/>
      <c r="E548" s="160"/>
      <c r="F548" s="93"/>
      <c r="G548" s="113">
        <f>SUM(G549)</f>
        <v>0</v>
      </c>
      <c r="H548" s="95"/>
      <c r="I548" s="95"/>
      <c r="J548" s="96"/>
      <c r="K548" s="96"/>
      <c r="L548" s="129"/>
      <c r="M548" s="129"/>
      <c r="N548" s="91"/>
      <c r="O548" s="91"/>
      <c r="P548" s="91"/>
      <c r="Q548" s="91"/>
      <c r="R548" s="97"/>
      <c r="S548" s="91"/>
      <c r="T548" s="97"/>
      <c r="U548" s="100">
        <f t="shared" si="194"/>
        <v>0</v>
      </c>
      <c r="V548" s="107">
        <f t="shared" si="195"/>
        <v>0</v>
      </c>
      <c r="W548" s="91"/>
      <c r="X548" s="113"/>
      <c r="Y548" s="113"/>
      <c r="Z548" s="113">
        <f>SUM(Z549)</f>
        <v>136653859</v>
      </c>
      <c r="AA548" s="113"/>
      <c r="AB548" s="113"/>
      <c r="AC548" s="113"/>
      <c r="AD548" s="94">
        <f>G548+Z548+AC548</f>
        <v>136653859</v>
      </c>
    </row>
    <row r="549" spans="1:243" ht="75" x14ac:dyDescent="0.2">
      <c r="A549" s="91"/>
      <c r="B549" s="163"/>
      <c r="C549" s="150" t="s">
        <v>954</v>
      </c>
      <c r="D549" s="103" t="s">
        <v>5</v>
      </c>
      <c r="E549" s="103">
        <v>0</v>
      </c>
      <c r="F549" s="48">
        <f>4348*24235+26658934</f>
        <v>132032714</v>
      </c>
      <c r="G549" s="106">
        <f t="shared" ref="G549:G562" si="206">F549*E549</f>
        <v>0</v>
      </c>
      <c r="H549" s="129">
        <f>G549*1.19</f>
        <v>0</v>
      </c>
      <c r="I549" s="164"/>
      <c r="J549" s="164"/>
      <c r="K549" s="91"/>
      <c r="L549" s="91"/>
      <c r="M549" s="91"/>
      <c r="N549" s="91"/>
      <c r="O549" s="91"/>
      <c r="P549" s="91"/>
      <c r="Q549" s="91"/>
      <c r="R549" s="97"/>
      <c r="S549" s="165">
        <f>G549*1.19</f>
        <v>0</v>
      </c>
      <c r="T549" s="97">
        <v>157118929.66</v>
      </c>
      <c r="U549" s="100">
        <f t="shared" si="194"/>
        <v>0</v>
      </c>
      <c r="V549" s="107">
        <f t="shared" si="195"/>
        <v>0</v>
      </c>
      <c r="W549" s="91"/>
      <c r="X549" s="106">
        <v>1</v>
      </c>
      <c r="Y549" s="106">
        <f>(F549*3.5%)+F549</f>
        <v>136653858.99000001</v>
      </c>
      <c r="Z549" s="106">
        <f t="shared" ref="Z549" si="207">ROUND(X549*Y549,0)</f>
        <v>136653859</v>
      </c>
      <c r="AA549" s="106"/>
      <c r="AB549" s="106"/>
      <c r="AC549" s="106"/>
      <c r="AD549" s="108">
        <f t="shared" ref="AD549" si="208">G549+Z549+AC549</f>
        <v>136653859</v>
      </c>
    </row>
    <row r="550" spans="1:243" s="43" customFormat="1" ht="30" customHeight="1" x14ac:dyDescent="0.2">
      <c r="A550" s="91"/>
      <c r="B550" s="156">
        <v>2</v>
      </c>
      <c r="C550" s="93" t="s">
        <v>502</v>
      </c>
      <c r="D550" s="92"/>
      <c r="E550" s="160"/>
      <c r="F550" s="93"/>
      <c r="G550" s="113">
        <f>SUM(G551)</f>
        <v>21692068</v>
      </c>
      <c r="H550" s="95"/>
      <c r="I550" s="95"/>
      <c r="J550" s="96"/>
      <c r="K550" s="96"/>
      <c r="L550" s="129"/>
      <c r="M550" s="129"/>
      <c r="N550" s="91"/>
      <c r="O550" s="91"/>
      <c r="P550" s="91"/>
      <c r="Q550" s="91"/>
      <c r="R550" s="97"/>
      <c r="S550" s="91"/>
      <c r="T550" s="97"/>
      <c r="U550" s="100">
        <f t="shared" si="194"/>
        <v>6833001.4199999999</v>
      </c>
      <c r="V550" s="107">
        <f t="shared" si="195"/>
        <v>28525069.420000002</v>
      </c>
      <c r="W550" s="91"/>
      <c r="X550" s="113"/>
      <c r="Y550" s="113"/>
      <c r="Z550" s="113">
        <f>SUM(Z551)</f>
        <v>134707742</v>
      </c>
      <c r="AA550" s="113"/>
      <c r="AB550" s="113"/>
      <c r="AC550" s="113"/>
      <c r="AD550" s="94">
        <f>G550+Z550+AC550</f>
        <v>156399810</v>
      </c>
      <c r="AE550" s="200"/>
      <c r="AF550" s="200"/>
      <c r="AG550" s="200"/>
      <c r="AH550" s="200"/>
      <c r="AI550" s="200"/>
      <c r="AJ550" s="200"/>
      <c r="AK550" s="200"/>
      <c r="AL550" s="200"/>
      <c r="AM550" s="200"/>
      <c r="AN550" s="200"/>
      <c r="AO550" s="200"/>
      <c r="AP550" s="200"/>
      <c r="AQ550" s="200"/>
      <c r="AR550" s="200"/>
      <c r="AS550" s="200"/>
      <c r="AT550" s="200"/>
      <c r="AU550" s="200"/>
      <c r="AV550" s="200"/>
      <c r="AW550" s="200"/>
      <c r="AX550" s="200"/>
      <c r="AY550" s="200"/>
      <c r="AZ550" s="200"/>
      <c r="BA550" s="200"/>
      <c r="BB550" s="200"/>
      <c r="BC550" s="200"/>
      <c r="BD550" s="200"/>
      <c r="BE550" s="200"/>
      <c r="BF550" s="200"/>
      <c r="BG550" s="200"/>
      <c r="BH550" s="200"/>
      <c r="BI550" s="200"/>
      <c r="BJ550" s="200"/>
      <c r="BK550" s="200"/>
      <c r="BL550" s="200"/>
      <c r="BM550" s="200"/>
      <c r="BN550" s="200"/>
      <c r="BO550" s="200"/>
      <c r="BP550" s="200"/>
      <c r="BQ550" s="200"/>
      <c r="BR550" s="200"/>
      <c r="BS550" s="200"/>
      <c r="BT550" s="200"/>
      <c r="BU550" s="200"/>
      <c r="BV550" s="200"/>
      <c r="BW550" s="200"/>
      <c r="BX550" s="200"/>
      <c r="BY550" s="200"/>
      <c r="BZ550" s="200"/>
      <c r="CA550" s="200"/>
      <c r="CB550" s="200"/>
      <c r="CC550" s="200"/>
      <c r="CD550" s="200"/>
      <c r="CE550" s="200"/>
      <c r="CF550" s="200"/>
      <c r="CG550" s="200"/>
      <c r="CH550" s="200"/>
      <c r="CI550" s="200"/>
      <c r="CJ550" s="200"/>
      <c r="CK550" s="200"/>
      <c r="CL550" s="200"/>
      <c r="CM550" s="200"/>
      <c r="CN550" s="200"/>
      <c r="CO550" s="200"/>
      <c r="CP550" s="200"/>
      <c r="CQ550" s="200"/>
      <c r="CR550" s="200"/>
      <c r="CS550" s="200"/>
      <c r="CT550" s="200"/>
      <c r="CU550" s="200"/>
      <c r="CV550" s="200"/>
      <c r="CW550" s="200"/>
      <c r="CX550" s="200"/>
      <c r="CY550" s="200"/>
      <c r="CZ550" s="200"/>
      <c r="DA550" s="200"/>
      <c r="DB550" s="200"/>
      <c r="DC550" s="200"/>
      <c r="DD550" s="200"/>
      <c r="DE550" s="200"/>
      <c r="DF550" s="200"/>
      <c r="DG550" s="200"/>
      <c r="DH550" s="200"/>
      <c r="DI550" s="200"/>
      <c r="DJ550" s="200"/>
      <c r="DK550" s="200"/>
      <c r="DL550" s="200"/>
      <c r="DM550" s="200"/>
      <c r="DN550" s="200"/>
      <c r="DO550" s="200"/>
      <c r="DP550" s="200"/>
      <c r="DQ550" s="200"/>
      <c r="DR550" s="200"/>
      <c r="DS550" s="200"/>
      <c r="DT550" s="200"/>
      <c r="DU550" s="200"/>
      <c r="DV550" s="200"/>
      <c r="DW550" s="200"/>
      <c r="DX550" s="200"/>
      <c r="DY550" s="200"/>
      <c r="DZ550" s="200"/>
      <c r="EA550" s="200"/>
      <c r="EB550" s="200"/>
      <c r="EC550" s="200"/>
      <c r="ED550" s="200"/>
      <c r="EE550" s="200"/>
      <c r="EF550" s="200"/>
      <c r="EG550" s="200"/>
      <c r="EH550" s="200"/>
      <c r="EI550" s="200"/>
      <c r="EJ550" s="200"/>
      <c r="EK550" s="200"/>
      <c r="EL550" s="200"/>
      <c r="EM550" s="200"/>
      <c r="EN550" s="200"/>
      <c r="EO550" s="200"/>
      <c r="EP550" s="200"/>
      <c r="EQ550" s="200"/>
      <c r="ER550" s="200"/>
      <c r="ES550" s="200"/>
      <c r="ET550" s="200"/>
      <c r="EU550" s="200"/>
      <c r="EV550" s="200"/>
      <c r="EW550" s="200"/>
      <c r="EX550" s="200"/>
      <c r="EY550" s="200"/>
      <c r="EZ550" s="200"/>
      <c r="FA550" s="200"/>
      <c r="FB550" s="200"/>
      <c r="FC550" s="200"/>
      <c r="FD550" s="200"/>
      <c r="FE550" s="200"/>
      <c r="FF550" s="200"/>
      <c r="FG550" s="200"/>
      <c r="FH550" s="200"/>
      <c r="FI550" s="200"/>
      <c r="FJ550" s="200"/>
      <c r="FK550" s="200"/>
      <c r="FL550" s="200"/>
      <c r="FM550" s="200"/>
      <c r="FN550" s="200"/>
      <c r="FO550" s="200"/>
      <c r="FP550" s="200"/>
      <c r="FQ550" s="200"/>
      <c r="FR550" s="200"/>
      <c r="FS550" s="200"/>
      <c r="FT550" s="200"/>
      <c r="FU550" s="200"/>
      <c r="FV550" s="200"/>
      <c r="FW550" s="200"/>
      <c r="FX550" s="200"/>
      <c r="FY550" s="200"/>
      <c r="FZ550" s="200"/>
      <c r="GA550" s="200"/>
      <c r="GB550" s="200"/>
      <c r="GC550" s="200"/>
      <c r="GD550" s="200"/>
      <c r="GE550" s="200"/>
      <c r="GF550" s="200"/>
      <c r="GG550" s="200"/>
      <c r="GH550" s="200"/>
      <c r="GI550" s="200"/>
      <c r="GJ550" s="200"/>
      <c r="GK550" s="200"/>
      <c r="GL550" s="200"/>
      <c r="GM550" s="200"/>
      <c r="GN550" s="200"/>
      <c r="GO550" s="200"/>
      <c r="GP550" s="200"/>
      <c r="GQ550" s="200"/>
      <c r="GR550" s="200"/>
      <c r="GS550" s="200"/>
      <c r="GT550" s="200"/>
      <c r="GU550" s="200"/>
      <c r="GV550" s="200"/>
      <c r="GW550" s="200"/>
      <c r="GX550" s="200"/>
      <c r="GY550" s="200"/>
      <c r="GZ550" s="200"/>
      <c r="HA550" s="200"/>
      <c r="HB550" s="200"/>
      <c r="HC550" s="200"/>
      <c r="HD550" s="200"/>
      <c r="HE550" s="200"/>
      <c r="HF550" s="200"/>
      <c r="HG550" s="200"/>
      <c r="HH550" s="200"/>
      <c r="HI550" s="200"/>
      <c r="HJ550" s="200"/>
      <c r="HK550" s="200"/>
      <c r="HL550" s="200"/>
      <c r="HM550" s="200"/>
      <c r="HN550" s="200"/>
      <c r="HO550" s="200"/>
      <c r="HP550" s="200"/>
      <c r="HQ550" s="200"/>
      <c r="HR550" s="200"/>
      <c r="HS550" s="200"/>
      <c r="HT550" s="200"/>
      <c r="HU550" s="200"/>
      <c r="HV550" s="200"/>
      <c r="HW550" s="200"/>
      <c r="HX550" s="200"/>
      <c r="HY550" s="200"/>
      <c r="HZ550" s="200"/>
      <c r="IA550" s="200"/>
      <c r="IB550" s="200"/>
      <c r="IC550" s="200"/>
      <c r="ID550" s="200"/>
      <c r="IE550" s="200"/>
      <c r="IF550" s="200"/>
      <c r="IG550" s="200"/>
      <c r="IH550" s="200"/>
      <c r="II550" s="200"/>
    </row>
    <row r="551" spans="1:243" ht="75" x14ac:dyDescent="0.2">
      <c r="A551" s="91"/>
      <c r="B551" s="163"/>
      <c r="C551" s="166" t="s">
        <v>959</v>
      </c>
      <c r="D551" s="103" t="s">
        <v>5</v>
      </c>
      <c r="E551" s="103">
        <v>1</v>
      </c>
      <c r="F551" s="48">
        <f>151844476/7</f>
        <v>21692068</v>
      </c>
      <c r="G551" s="106">
        <f t="shared" si="206"/>
        <v>21692068</v>
      </c>
      <c r="H551" s="129">
        <f>G551*1.19</f>
        <v>25813560.919999998</v>
      </c>
      <c r="I551" s="164"/>
      <c r="J551" s="164"/>
      <c r="K551" s="91"/>
      <c r="L551" s="91"/>
      <c r="M551" s="91"/>
      <c r="N551" s="91"/>
      <c r="O551" s="91"/>
      <c r="P551" s="91"/>
      <c r="Q551" s="91"/>
      <c r="R551" s="97"/>
      <c r="S551" s="165">
        <f>G551*1.19</f>
        <v>25813560.919999998</v>
      </c>
      <c r="T551" s="97">
        <v>180694926.44</v>
      </c>
      <c r="U551" s="100">
        <f t="shared" si="194"/>
        <v>6833001.4199999999</v>
      </c>
      <c r="V551" s="107">
        <f t="shared" si="195"/>
        <v>28525069.420000002</v>
      </c>
      <c r="W551" s="91"/>
      <c r="X551" s="106">
        <v>6</v>
      </c>
      <c r="Y551" s="106">
        <f>(F551*3.5%)+F551</f>
        <v>22451290.379999999</v>
      </c>
      <c r="Z551" s="106">
        <f t="shared" ref="Z551" si="209">ROUND(X551*Y551,0)</f>
        <v>134707742</v>
      </c>
      <c r="AA551" s="106"/>
      <c r="AB551" s="106"/>
      <c r="AC551" s="106"/>
      <c r="AD551" s="108">
        <f t="shared" ref="AD551" si="210">G551+Z551+AC551</f>
        <v>156399810</v>
      </c>
    </row>
    <row r="552" spans="1:243" ht="30" customHeight="1" x14ac:dyDescent="0.2">
      <c r="A552" s="91"/>
      <c r="B552" s="156">
        <v>3</v>
      </c>
      <c r="C552" s="93" t="s">
        <v>811</v>
      </c>
      <c r="D552" s="92"/>
      <c r="E552" s="160"/>
      <c r="F552" s="93"/>
      <c r="G552" s="113">
        <f>SUM(G553:G554)</f>
        <v>0</v>
      </c>
      <c r="H552" s="95"/>
      <c r="I552" s="95"/>
      <c r="J552" s="96"/>
      <c r="K552" s="96"/>
      <c r="L552" s="129"/>
      <c r="M552" s="129"/>
      <c r="N552" s="91"/>
      <c r="O552" s="91"/>
      <c r="P552" s="91"/>
      <c r="Q552" s="91"/>
      <c r="R552" s="97"/>
      <c r="S552" s="91"/>
      <c r="T552" s="97"/>
      <c r="U552" s="100">
        <f t="shared" si="194"/>
        <v>0</v>
      </c>
      <c r="V552" s="107">
        <f t="shared" si="195"/>
        <v>0</v>
      </c>
      <c r="W552" s="91"/>
      <c r="X552" s="113"/>
      <c r="Y552" s="113"/>
      <c r="Z552" s="113">
        <f>SUM(Z553:Z554)</f>
        <v>66343500</v>
      </c>
      <c r="AA552" s="113"/>
      <c r="AB552" s="113"/>
      <c r="AC552" s="113"/>
      <c r="AD552" s="94">
        <f>G552+Z552+AC552</f>
        <v>66343500</v>
      </c>
    </row>
    <row r="553" spans="1:243" ht="165" x14ac:dyDescent="0.2">
      <c r="A553" s="91"/>
      <c r="B553" s="163"/>
      <c r="C553" s="166" t="s">
        <v>503</v>
      </c>
      <c r="D553" s="103" t="s">
        <v>5</v>
      </c>
      <c r="E553" s="103"/>
      <c r="F553" s="48">
        <f>57800000</f>
        <v>57800000</v>
      </c>
      <c r="G553" s="106">
        <f t="shared" si="206"/>
        <v>0</v>
      </c>
      <c r="H553" s="129">
        <f>G553*1.19</f>
        <v>0</v>
      </c>
      <c r="I553" s="164"/>
      <c r="J553" s="164"/>
      <c r="K553" s="91"/>
      <c r="L553" s="91"/>
      <c r="M553" s="91"/>
      <c r="N553" s="91"/>
      <c r="O553" s="91"/>
      <c r="P553" s="91"/>
      <c r="Q553" s="91"/>
      <c r="R553" s="97"/>
      <c r="S553" s="165">
        <f>G553*1.19</f>
        <v>0</v>
      </c>
      <c r="T553" s="97">
        <v>68782000</v>
      </c>
      <c r="U553" s="100">
        <f t="shared" si="194"/>
        <v>0</v>
      </c>
      <c r="V553" s="107">
        <f t="shared" si="195"/>
        <v>0</v>
      </c>
      <c r="W553" s="91"/>
      <c r="X553" s="103">
        <v>1</v>
      </c>
      <c r="Y553" s="106">
        <f>(F553*3.5%)+F553</f>
        <v>59823000</v>
      </c>
      <c r="Z553" s="106">
        <f t="shared" ref="Z553:Z554" si="211">ROUND(X553*Y553,0)</f>
        <v>59823000</v>
      </c>
      <c r="AA553" s="106"/>
      <c r="AB553" s="106"/>
      <c r="AC553" s="106"/>
      <c r="AD553" s="108">
        <f t="shared" ref="AD553:AD554" si="212">G553+Z553+AC553</f>
        <v>59823000</v>
      </c>
    </row>
    <row r="554" spans="1:243" ht="75" x14ac:dyDescent="0.2">
      <c r="A554" s="91"/>
      <c r="B554" s="163"/>
      <c r="C554" s="166" t="s">
        <v>955</v>
      </c>
      <c r="D554" s="103" t="s">
        <v>5</v>
      </c>
      <c r="E554" s="103"/>
      <c r="F554" s="48">
        <f>6300000</f>
        <v>6300000</v>
      </c>
      <c r="G554" s="106">
        <f t="shared" si="206"/>
        <v>0</v>
      </c>
      <c r="H554" s="129">
        <f>G554*1.19</f>
        <v>0</v>
      </c>
      <c r="I554" s="164"/>
      <c r="J554" s="164"/>
      <c r="K554" s="91"/>
      <c r="L554" s="91"/>
      <c r="M554" s="91"/>
      <c r="N554" s="91"/>
      <c r="O554" s="91"/>
      <c r="P554" s="91"/>
      <c r="Q554" s="91"/>
      <c r="R554" s="97"/>
      <c r="S554" s="165">
        <f>G554*1.19</f>
        <v>0</v>
      </c>
      <c r="T554" s="97">
        <v>7497000</v>
      </c>
      <c r="U554" s="100">
        <f t="shared" si="194"/>
        <v>0</v>
      </c>
      <c r="V554" s="107">
        <f t="shared" si="195"/>
        <v>0</v>
      </c>
      <c r="W554" s="91"/>
      <c r="X554" s="103">
        <v>1</v>
      </c>
      <c r="Y554" s="106">
        <f>(F554*3.5%)+F554</f>
        <v>6520500</v>
      </c>
      <c r="Z554" s="106">
        <f t="shared" si="211"/>
        <v>6520500</v>
      </c>
      <c r="AA554" s="106"/>
      <c r="AB554" s="106"/>
      <c r="AC554" s="106"/>
      <c r="AD554" s="108">
        <f t="shared" si="212"/>
        <v>6520500</v>
      </c>
    </row>
    <row r="555" spans="1:243" ht="15" x14ac:dyDescent="0.2">
      <c r="A555" s="91"/>
      <c r="B555" s="156">
        <v>4</v>
      </c>
      <c r="C555" s="93" t="s">
        <v>504</v>
      </c>
      <c r="D555" s="92"/>
      <c r="E555" s="160"/>
      <c r="F555" s="93"/>
      <c r="G555" s="113">
        <f>SUM(G556:G557)</f>
        <v>0</v>
      </c>
      <c r="H555" s="95"/>
      <c r="I555" s="95"/>
      <c r="J555" s="96"/>
      <c r="K555" s="96"/>
      <c r="L555" s="129"/>
      <c r="M555" s="129"/>
      <c r="N555" s="91"/>
      <c r="O555" s="91"/>
      <c r="P555" s="91"/>
      <c r="Q555" s="91"/>
      <c r="R555" s="97"/>
      <c r="S555" s="91"/>
      <c r="T555" s="97"/>
      <c r="U555" s="100">
        <f t="shared" si="194"/>
        <v>0</v>
      </c>
      <c r="V555" s="107">
        <f t="shared" si="195"/>
        <v>0</v>
      </c>
      <c r="W555" s="91"/>
      <c r="X555" s="113"/>
      <c r="Y555" s="113"/>
      <c r="Z555" s="113">
        <f>SUM(Z556:Z557)</f>
        <v>103032811</v>
      </c>
      <c r="AA555" s="113"/>
      <c r="AB555" s="113"/>
      <c r="AC555" s="113"/>
      <c r="AD555" s="94">
        <f>G555+Z555+AC555</f>
        <v>103032811</v>
      </c>
    </row>
    <row r="556" spans="1:243" ht="64" x14ac:dyDescent="0.2">
      <c r="A556" s="91"/>
      <c r="B556" s="163"/>
      <c r="C556" s="167" t="s">
        <v>956</v>
      </c>
      <c r="D556" s="103" t="s">
        <v>5</v>
      </c>
      <c r="E556" s="103"/>
      <c r="F556" s="48">
        <f>(15095*4349)</f>
        <v>65648155</v>
      </c>
      <c r="G556" s="106">
        <f t="shared" si="206"/>
        <v>0</v>
      </c>
      <c r="H556" s="129">
        <f>G556*1.19</f>
        <v>0</v>
      </c>
      <c r="I556" s="164"/>
      <c r="J556" s="164"/>
      <c r="K556" s="91"/>
      <c r="L556" s="91"/>
      <c r="M556" s="91"/>
      <c r="N556" s="91"/>
      <c r="O556" s="91"/>
      <c r="P556" s="91"/>
      <c r="Q556" s="91"/>
      <c r="R556" s="97"/>
      <c r="S556" s="165">
        <f>G556*1.19</f>
        <v>0</v>
      </c>
      <c r="T556" s="97">
        <v>78121304.450000003</v>
      </c>
      <c r="U556" s="100">
        <f t="shared" si="194"/>
        <v>0</v>
      </c>
      <c r="V556" s="107">
        <f t="shared" si="195"/>
        <v>0</v>
      </c>
      <c r="W556" s="91"/>
      <c r="X556" s="132">
        <v>1</v>
      </c>
      <c r="Y556" s="106">
        <f>(F556*3.5%)+F556</f>
        <v>67945840.424999997</v>
      </c>
      <c r="Z556" s="106">
        <f t="shared" ref="Z556:Z557" si="213">ROUND(X556*Y556,0)</f>
        <v>67945840</v>
      </c>
      <c r="AA556" s="106"/>
      <c r="AB556" s="106"/>
      <c r="AC556" s="106"/>
      <c r="AD556" s="108">
        <f t="shared" ref="AD556:AD557" si="214">G556+Z556+AC556</f>
        <v>67945840</v>
      </c>
    </row>
    <row r="557" spans="1:243" ht="30" x14ac:dyDescent="0.2">
      <c r="A557" s="91"/>
      <c r="B557" s="163"/>
      <c r="C557" s="166" t="s">
        <v>957</v>
      </c>
      <c r="D557" s="103" t="s">
        <v>5</v>
      </c>
      <c r="E557" s="103"/>
      <c r="F557" s="48">
        <f>((7595+200)*4349)</f>
        <v>33900455</v>
      </c>
      <c r="G557" s="106">
        <f t="shared" si="206"/>
        <v>0</v>
      </c>
      <c r="H557" s="129">
        <f>G557*1.19</f>
        <v>0</v>
      </c>
      <c r="I557" s="164"/>
      <c r="J557" s="164"/>
      <c r="K557" s="91"/>
      <c r="L557" s="91"/>
      <c r="M557" s="91"/>
      <c r="N557" s="91"/>
      <c r="O557" s="91"/>
      <c r="P557" s="91"/>
      <c r="Q557" s="91"/>
      <c r="R557" s="97"/>
      <c r="S557" s="165">
        <f>G557*1.19</f>
        <v>0</v>
      </c>
      <c r="T557" s="97">
        <v>40341541.449999996</v>
      </c>
      <c r="U557" s="100">
        <f t="shared" si="194"/>
        <v>0</v>
      </c>
      <c r="V557" s="107">
        <f t="shared" si="195"/>
        <v>0</v>
      </c>
      <c r="W557" s="91"/>
      <c r="X557" s="132">
        <v>1</v>
      </c>
      <c r="Y557" s="106">
        <f>(F557*3.5%)+F557</f>
        <v>35086970.924999997</v>
      </c>
      <c r="Z557" s="106">
        <f t="shared" si="213"/>
        <v>35086971</v>
      </c>
      <c r="AA557" s="106"/>
      <c r="AB557" s="106"/>
      <c r="AC557" s="106"/>
      <c r="AD557" s="108">
        <f t="shared" si="214"/>
        <v>35086971</v>
      </c>
    </row>
    <row r="558" spans="1:243" ht="15" x14ac:dyDescent="0.2">
      <c r="A558" s="91"/>
      <c r="B558" s="156">
        <v>5</v>
      </c>
      <c r="C558" s="93" t="s">
        <v>439</v>
      </c>
      <c r="D558" s="92"/>
      <c r="E558" s="160"/>
      <c r="F558" s="93"/>
      <c r="G558" s="113">
        <f>SUM(G559:G562)</f>
        <v>0</v>
      </c>
      <c r="H558" s="95"/>
      <c r="I558" s="95"/>
      <c r="J558" s="96"/>
      <c r="K558" s="96"/>
      <c r="L558" s="129"/>
      <c r="M558" s="129"/>
      <c r="N558" s="91"/>
      <c r="O558" s="91"/>
      <c r="P558" s="91"/>
      <c r="Q558" s="91"/>
      <c r="R558" s="97"/>
      <c r="S558" s="91"/>
      <c r="T558" s="97"/>
      <c r="U558" s="100">
        <f t="shared" si="194"/>
        <v>0</v>
      </c>
      <c r="V558" s="107">
        <f t="shared" si="195"/>
        <v>0</v>
      </c>
      <c r="W558" s="91"/>
      <c r="X558" s="113"/>
      <c r="Y558" s="113"/>
      <c r="Z558" s="113">
        <f>SUM(Z559:Z562)</f>
        <v>239668833</v>
      </c>
      <c r="AA558" s="113"/>
      <c r="AB558" s="113"/>
      <c r="AC558" s="113"/>
      <c r="AD558" s="94">
        <f>G558+Z558+AC558</f>
        <v>239668833</v>
      </c>
    </row>
    <row r="559" spans="1:243" ht="60" x14ac:dyDescent="0.2">
      <c r="A559" s="91"/>
      <c r="B559" s="163"/>
      <c r="C559" s="102" t="s">
        <v>440</v>
      </c>
      <c r="D559" s="103"/>
      <c r="E559" s="103"/>
      <c r="F559" s="106">
        <f>((17620+4008+1184+1250+14040)*4289)</f>
        <v>163419478</v>
      </c>
      <c r="G559" s="106">
        <f t="shared" si="206"/>
        <v>0</v>
      </c>
      <c r="H559" s="129">
        <f>G559*1.19</f>
        <v>0</v>
      </c>
      <c r="I559" s="164"/>
      <c r="J559" s="164"/>
      <c r="K559" s="91"/>
      <c r="L559" s="91"/>
      <c r="M559" s="91"/>
      <c r="N559" s="91"/>
      <c r="O559" s="91"/>
      <c r="P559" s="91"/>
      <c r="Q559" s="91"/>
      <c r="R559" s="97"/>
      <c r="S559" s="165">
        <f>G559*1.19</f>
        <v>0</v>
      </c>
      <c r="T559" s="97">
        <v>194469178.81999999</v>
      </c>
      <c r="U559" s="100">
        <f t="shared" si="194"/>
        <v>0</v>
      </c>
      <c r="V559" s="107">
        <f t="shared" si="195"/>
        <v>0</v>
      </c>
      <c r="W559" s="91"/>
      <c r="X559" s="103">
        <v>1</v>
      </c>
      <c r="Y559" s="106">
        <f t="shared" ref="Y559:Y561" si="215">(F559*3.5%)+F559</f>
        <v>169139159.72999999</v>
      </c>
      <c r="Z559" s="106">
        <f t="shared" ref="Z559:Z561" si="216">ROUND(X559*Y559,0)</f>
        <v>169139160</v>
      </c>
      <c r="AA559" s="106"/>
      <c r="AB559" s="106"/>
      <c r="AC559" s="106"/>
      <c r="AD559" s="108">
        <f t="shared" ref="AD559:AD562" si="217">G559+Z559+AC559</f>
        <v>169139160</v>
      </c>
    </row>
    <row r="560" spans="1:243" ht="45" x14ac:dyDescent="0.2">
      <c r="A560" s="91"/>
      <c r="B560" s="163"/>
      <c r="C560" s="102" t="s">
        <v>441</v>
      </c>
      <c r="D560" s="103"/>
      <c r="E560" s="103"/>
      <c r="F560" s="106">
        <v>32410744</v>
      </c>
      <c r="G560" s="106">
        <f t="shared" si="206"/>
        <v>0</v>
      </c>
      <c r="H560" s="129">
        <f>G560*1.19</f>
        <v>0</v>
      </c>
      <c r="I560" s="164"/>
      <c r="J560" s="164"/>
      <c r="K560" s="91"/>
      <c r="L560" s="91"/>
      <c r="M560" s="91"/>
      <c r="N560" s="91"/>
      <c r="O560" s="91"/>
      <c r="P560" s="91"/>
      <c r="Q560" s="91"/>
      <c r="R560" s="97"/>
      <c r="S560" s="165">
        <f>G560*1.19</f>
        <v>0</v>
      </c>
      <c r="T560" s="97">
        <v>38568785.359999999</v>
      </c>
      <c r="U560" s="100">
        <f t="shared" si="194"/>
        <v>0</v>
      </c>
      <c r="V560" s="107">
        <f t="shared" si="195"/>
        <v>0</v>
      </c>
      <c r="W560" s="91"/>
      <c r="X560" s="103">
        <v>1</v>
      </c>
      <c r="Y560" s="106">
        <f t="shared" si="215"/>
        <v>33545120.039999999</v>
      </c>
      <c r="Z560" s="106">
        <f t="shared" si="216"/>
        <v>33545120</v>
      </c>
      <c r="AA560" s="106"/>
      <c r="AB560" s="106"/>
      <c r="AC560" s="106"/>
      <c r="AD560" s="108">
        <f t="shared" si="217"/>
        <v>33545120</v>
      </c>
    </row>
    <row r="561" spans="1:243" ht="76.5" customHeight="1" x14ac:dyDescent="0.2">
      <c r="A561" s="91"/>
      <c r="B561" s="163"/>
      <c r="C561" s="102" t="s">
        <v>958</v>
      </c>
      <c r="D561" s="103"/>
      <c r="E561" s="103"/>
      <c r="F561" s="106">
        <v>33173868</v>
      </c>
      <c r="G561" s="106">
        <f t="shared" si="206"/>
        <v>0</v>
      </c>
      <c r="H561" s="129">
        <f>G561*1.19</f>
        <v>0</v>
      </c>
      <c r="I561" s="164"/>
      <c r="J561" s="164"/>
      <c r="K561" s="91"/>
      <c r="L561" s="91"/>
      <c r="M561" s="91"/>
      <c r="N561" s="91"/>
      <c r="O561" s="91"/>
      <c r="P561" s="91"/>
      <c r="Q561" s="91"/>
      <c r="R561" s="97"/>
      <c r="S561" s="165">
        <f>G561*1.19</f>
        <v>0</v>
      </c>
      <c r="T561" s="97">
        <v>39476902.920000002</v>
      </c>
      <c r="U561" s="100">
        <f t="shared" si="194"/>
        <v>0</v>
      </c>
      <c r="V561" s="107">
        <f t="shared" si="195"/>
        <v>0</v>
      </c>
      <c r="W561" s="91"/>
      <c r="X561" s="103">
        <v>1</v>
      </c>
      <c r="Y561" s="106">
        <f t="shared" si="215"/>
        <v>34334953.380000003</v>
      </c>
      <c r="Z561" s="106">
        <f t="shared" si="216"/>
        <v>34334953</v>
      </c>
      <c r="AA561" s="106"/>
      <c r="AB561" s="106"/>
      <c r="AC561" s="106"/>
      <c r="AD561" s="108">
        <f t="shared" si="217"/>
        <v>34334953</v>
      </c>
    </row>
    <row r="562" spans="1:243" ht="15" x14ac:dyDescent="0.2">
      <c r="A562" s="91"/>
      <c r="B562" s="163"/>
      <c r="C562" s="102" t="s">
        <v>1010</v>
      </c>
      <c r="D562" s="103"/>
      <c r="E562" s="103"/>
      <c r="F562" s="106">
        <v>2560000</v>
      </c>
      <c r="G562" s="106">
        <f t="shared" si="206"/>
        <v>0</v>
      </c>
      <c r="H562" s="129">
        <f>G562*1.19</f>
        <v>0</v>
      </c>
      <c r="I562" s="164"/>
      <c r="J562" s="164"/>
      <c r="K562" s="91"/>
      <c r="L562" s="91"/>
      <c r="M562" s="91"/>
      <c r="N562" s="91"/>
      <c r="O562" s="91"/>
      <c r="P562" s="91"/>
      <c r="Q562" s="91"/>
      <c r="R562" s="97"/>
      <c r="S562" s="165">
        <f>G562*1.19</f>
        <v>0</v>
      </c>
      <c r="T562" s="97">
        <v>3046400</v>
      </c>
      <c r="U562" s="100">
        <f t="shared" si="194"/>
        <v>0</v>
      </c>
      <c r="V562" s="107">
        <f t="shared" si="195"/>
        <v>0</v>
      </c>
      <c r="W562" s="91"/>
      <c r="X562" s="103">
        <v>1</v>
      </c>
      <c r="Y562" s="106">
        <f>(F562*3.5%)+F562</f>
        <v>2649600</v>
      </c>
      <c r="Z562" s="106">
        <f>ROUND(X562*Y562,0)</f>
        <v>2649600</v>
      </c>
      <c r="AA562" s="106"/>
      <c r="AB562" s="106"/>
      <c r="AC562" s="106"/>
      <c r="AD562" s="108">
        <f t="shared" si="217"/>
        <v>2649600</v>
      </c>
    </row>
    <row r="563" spans="1:243" ht="15" x14ac:dyDescent="0.2">
      <c r="A563" s="91"/>
      <c r="B563" s="156">
        <v>6</v>
      </c>
      <c r="C563" s="93" t="s">
        <v>518</v>
      </c>
      <c r="D563" s="92"/>
      <c r="E563" s="93"/>
      <c r="F563" s="93"/>
      <c r="G563" s="113">
        <f>SUM(G564:G571)</f>
        <v>0</v>
      </c>
      <c r="H563" s="129"/>
      <c r="I563" s="164"/>
      <c r="J563" s="164"/>
      <c r="K563" s="91"/>
      <c r="L563" s="91"/>
      <c r="M563" s="91"/>
      <c r="N563" s="91"/>
      <c r="O563" s="91"/>
      <c r="P563" s="91"/>
      <c r="Q563" s="91"/>
      <c r="R563" s="97"/>
      <c r="S563" s="165"/>
      <c r="T563" s="97"/>
      <c r="U563" s="100"/>
      <c r="V563" s="107"/>
      <c r="W563" s="91"/>
      <c r="X563" s="113"/>
      <c r="Y563" s="113"/>
      <c r="Z563" s="113">
        <f>SUM(Z564:Z571)</f>
        <v>293649133</v>
      </c>
      <c r="AA563" s="113"/>
      <c r="AB563" s="113"/>
      <c r="AC563" s="113"/>
      <c r="AD563" s="94">
        <f>G563+Z563+AC563</f>
        <v>293649133</v>
      </c>
    </row>
    <row r="564" spans="1:243" ht="60" x14ac:dyDescent="0.2">
      <c r="A564" s="91"/>
      <c r="B564" s="103" t="s">
        <v>62</v>
      </c>
      <c r="C564" s="157" t="s">
        <v>1231</v>
      </c>
      <c r="D564" s="158" t="s">
        <v>5</v>
      </c>
      <c r="E564" s="122"/>
      <c r="F564" s="48">
        <v>83322320</v>
      </c>
      <c r="G564" s="115">
        <f t="shared" ref="G564:G570" si="218">F564*E564</f>
        <v>0</v>
      </c>
      <c r="H564" s="129"/>
      <c r="I564" s="164"/>
      <c r="J564" s="164"/>
      <c r="K564" s="91"/>
      <c r="L564" s="91"/>
      <c r="M564" s="91"/>
      <c r="N564" s="91"/>
      <c r="O564" s="91"/>
      <c r="P564" s="91"/>
      <c r="Q564" s="91"/>
      <c r="R564" s="97"/>
      <c r="S564" s="165"/>
      <c r="T564" s="97"/>
      <c r="U564" s="100"/>
      <c r="V564" s="107"/>
      <c r="W564" s="91"/>
      <c r="X564" s="122">
        <v>1</v>
      </c>
      <c r="Y564" s="106">
        <f t="shared" ref="Y564:Y571" si="219">(F564*3.5%)+F564</f>
        <v>86238601.200000003</v>
      </c>
      <c r="Z564" s="106">
        <f t="shared" ref="Z564:Z571" si="220">ROUND(X564*Y564,0)</f>
        <v>86238601</v>
      </c>
      <c r="AA564" s="115"/>
      <c r="AB564" s="115"/>
      <c r="AC564" s="115"/>
      <c r="AD564" s="108">
        <f t="shared" ref="AD564:AD571" si="221">G564+Z564+AC564</f>
        <v>86238601</v>
      </c>
    </row>
    <row r="565" spans="1:243" ht="15" x14ac:dyDescent="0.2">
      <c r="A565" s="91"/>
      <c r="B565" s="103" t="s">
        <v>1232</v>
      </c>
      <c r="C565" s="157" t="s">
        <v>506</v>
      </c>
      <c r="D565" s="158" t="s">
        <v>5</v>
      </c>
      <c r="E565" s="122"/>
      <c r="F565" s="48">
        <v>20111390</v>
      </c>
      <c r="G565" s="115">
        <f t="shared" si="218"/>
        <v>0</v>
      </c>
      <c r="H565" s="129"/>
      <c r="I565" s="164"/>
      <c r="J565" s="164"/>
      <c r="K565" s="91"/>
      <c r="L565" s="91"/>
      <c r="M565" s="91"/>
      <c r="N565" s="91"/>
      <c r="O565" s="91"/>
      <c r="P565" s="91"/>
      <c r="Q565" s="91"/>
      <c r="R565" s="97"/>
      <c r="S565" s="165"/>
      <c r="T565" s="97"/>
      <c r="U565" s="100"/>
      <c r="V565" s="107"/>
      <c r="W565" s="91"/>
      <c r="X565" s="122">
        <v>2</v>
      </c>
      <c r="Y565" s="106">
        <f t="shared" si="219"/>
        <v>20815288.649999999</v>
      </c>
      <c r="Z565" s="106">
        <f t="shared" si="220"/>
        <v>41630577</v>
      </c>
      <c r="AA565" s="115"/>
      <c r="AB565" s="115"/>
      <c r="AC565" s="115"/>
      <c r="AD565" s="108">
        <f t="shared" si="221"/>
        <v>41630577</v>
      </c>
    </row>
    <row r="566" spans="1:243" ht="60" x14ac:dyDescent="0.2">
      <c r="A566" s="91"/>
      <c r="B566" s="103" t="s">
        <v>1233</v>
      </c>
      <c r="C566" s="157" t="s">
        <v>1003</v>
      </c>
      <c r="D566" s="158" t="s">
        <v>5</v>
      </c>
      <c r="E566" s="122"/>
      <c r="F566" s="48">
        <v>11078240</v>
      </c>
      <c r="G566" s="115">
        <f t="shared" si="218"/>
        <v>0</v>
      </c>
      <c r="H566" s="129"/>
      <c r="I566" s="164"/>
      <c r="J566" s="164"/>
      <c r="K566" s="91"/>
      <c r="L566" s="91"/>
      <c r="M566" s="91"/>
      <c r="N566" s="91"/>
      <c r="O566" s="91"/>
      <c r="P566" s="91"/>
      <c r="Q566" s="91"/>
      <c r="R566" s="97"/>
      <c r="S566" s="165"/>
      <c r="T566" s="97"/>
      <c r="U566" s="100"/>
      <c r="V566" s="107"/>
      <c r="W566" s="91"/>
      <c r="X566" s="122">
        <v>1</v>
      </c>
      <c r="Y566" s="106">
        <f t="shared" si="219"/>
        <v>11465978.4</v>
      </c>
      <c r="Z566" s="106">
        <f t="shared" si="220"/>
        <v>11465978</v>
      </c>
      <c r="AA566" s="115"/>
      <c r="AB566" s="115"/>
      <c r="AC566" s="115"/>
      <c r="AD566" s="108">
        <f t="shared" si="221"/>
        <v>11465978</v>
      </c>
    </row>
    <row r="567" spans="1:243" ht="46.5" customHeight="1" x14ac:dyDescent="0.2">
      <c r="A567" s="91"/>
      <c r="B567" s="103" t="s">
        <v>1234</v>
      </c>
      <c r="C567" s="157" t="s">
        <v>1002</v>
      </c>
      <c r="D567" s="158" t="s">
        <v>5</v>
      </c>
      <c r="E567" s="122"/>
      <c r="F567" s="48">
        <v>11618450</v>
      </c>
      <c r="G567" s="115">
        <f t="shared" si="218"/>
        <v>0</v>
      </c>
      <c r="H567" s="129"/>
      <c r="I567" s="164"/>
      <c r="J567" s="164"/>
      <c r="K567" s="91"/>
      <c r="L567" s="91"/>
      <c r="M567" s="91"/>
      <c r="N567" s="91"/>
      <c r="O567" s="91"/>
      <c r="P567" s="91"/>
      <c r="Q567" s="91"/>
      <c r="R567" s="97"/>
      <c r="S567" s="165"/>
      <c r="T567" s="97"/>
      <c r="U567" s="100"/>
      <c r="V567" s="107"/>
      <c r="W567" s="91"/>
      <c r="X567" s="122">
        <v>1</v>
      </c>
      <c r="Y567" s="106">
        <f t="shared" si="219"/>
        <v>12025095.75</v>
      </c>
      <c r="Z567" s="106">
        <f t="shared" si="220"/>
        <v>12025096</v>
      </c>
      <c r="AA567" s="115"/>
      <c r="AB567" s="115"/>
      <c r="AC567" s="115"/>
      <c r="AD567" s="108">
        <f t="shared" si="221"/>
        <v>12025096</v>
      </c>
    </row>
    <row r="568" spans="1:243" ht="15" x14ac:dyDescent="0.2">
      <c r="A568" s="91"/>
      <c r="B568" s="103" t="s">
        <v>1235</v>
      </c>
      <c r="C568" s="157" t="s">
        <v>509</v>
      </c>
      <c r="D568" s="158" t="s">
        <v>5</v>
      </c>
      <c r="E568" s="122"/>
      <c r="F568" s="48">
        <v>2306510</v>
      </c>
      <c r="G568" s="115">
        <f t="shared" si="218"/>
        <v>0</v>
      </c>
      <c r="H568" s="129"/>
      <c r="I568" s="164"/>
      <c r="J568" s="164"/>
      <c r="K568" s="91"/>
      <c r="L568" s="91"/>
      <c r="M568" s="91"/>
      <c r="N568" s="91"/>
      <c r="O568" s="91"/>
      <c r="P568" s="91"/>
      <c r="Q568" s="91"/>
      <c r="R568" s="97"/>
      <c r="S568" s="165"/>
      <c r="T568" s="97"/>
      <c r="U568" s="100"/>
      <c r="V568" s="107"/>
      <c r="W568" s="91"/>
      <c r="X568" s="122">
        <v>7</v>
      </c>
      <c r="Y568" s="106">
        <f t="shared" si="219"/>
        <v>2387237.85</v>
      </c>
      <c r="Z568" s="106">
        <f t="shared" si="220"/>
        <v>16710665</v>
      </c>
      <c r="AA568" s="115"/>
      <c r="AB568" s="115"/>
      <c r="AC568" s="115"/>
      <c r="AD568" s="108">
        <f t="shared" si="221"/>
        <v>16710665</v>
      </c>
    </row>
    <row r="569" spans="1:243" ht="15" x14ac:dyDescent="0.2">
      <c r="A569" s="91"/>
      <c r="B569" s="103" t="s">
        <v>1236</v>
      </c>
      <c r="C569" s="157" t="s">
        <v>510</v>
      </c>
      <c r="D569" s="158" t="s">
        <v>5</v>
      </c>
      <c r="E569" s="122"/>
      <c r="F569" s="48">
        <v>2731775</v>
      </c>
      <c r="G569" s="115">
        <f t="shared" si="218"/>
        <v>0</v>
      </c>
      <c r="H569" s="129"/>
      <c r="I569" s="164"/>
      <c r="J569" s="164"/>
      <c r="K569" s="91"/>
      <c r="L569" s="91"/>
      <c r="M569" s="91"/>
      <c r="N569" s="91"/>
      <c r="O569" s="91"/>
      <c r="P569" s="91"/>
      <c r="Q569" s="91"/>
      <c r="R569" s="97"/>
      <c r="S569" s="165"/>
      <c r="T569" s="97"/>
      <c r="U569" s="100"/>
      <c r="V569" s="107"/>
      <c r="W569" s="91"/>
      <c r="X569" s="122">
        <v>10</v>
      </c>
      <c r="Y569" s="106">
        <f t="shared" si="219"/>
        <v>2827387.125</v>
      </c>
      <c r="Z569" s="106">
        <f t="shared" si="220"/>
        <v>28273871</v>
      </c>
      <c r="AA569" s="115"/>
      <c r="AB569" s="115"/>
      <c r="AC569" s="115"/>
      <c r="AD569" s="108">
        <f t="shared" si="221"/>
        <v>28273871</v>
      </c>
    </row>
    <row r="570" spans="1:243" ht="15" x14ac:dyDescent="0.2">
      <c r="A570" s="91"/>
      <c r="B570" s="103" t="s">
        <v>1237</v>
      </c>
      <c r="C570" s="157" t="s">
        <v>511</v>
      </c>
      <c r="D570" s="158" t="s">
        <v>5</v>
      </c>
      <c r="E570" s="122"/>
      <c r="F570" s="48">
        <v>4254515</v>
      </c>
      <c r="G570" s="115">
        <f t="shared" si="218"/>
        <v>0</v>
      </c>
      <c r="H570" s="129"/>
      <c r="I570" s="164"/>
      <c r="J570" s="164"/>
      <c r="K570" s="91"/>
      <c r="L570" s="91"/>
      <c r="M570" s="91"/>
      <c r="N570" s="91"/>
      <c r="O570" s="91"/>
      <c r="P570" s="91"/>
      <c r="Q570" s="91"/>
      <c r="R570" s="97"/>
      <c r="S570" s="165"/>
      <c r="T570" s="97"/>
      <c r="U570" s="100"/>
      <c r="V570" s="107"/>
      <c r="W570" s="91"/>
      <c r="X570" s="122">
        <v>2</v>
      </c>
      <c r="Y570" s="106">
        <f t="shared" si="219"/>
        <v>4403423.0250000004</v>
      </c>
      <c r="Z570" s="106">
        <f t="shared" si="220"/>
        <v>8806846</v>
      </c>
      <c r="AA570" s="115"/>
      <c r="AB570" s="115"/>
      <c r="AC570" s="115"/>
      <c r="AD570" s="108">
        <f t="shared" si="221"/>
        <v>8806846</v>
      </c>
    </row>
    <row r="571" spans="1:243" ht="15" x14ac:dyDescent="0.2">
      <c r="A571" s="91"/>
      <c r="B571" s="103" t="s">
        <v>1238</v>
      </c>
      <c r="C571" s="157" t="s">
        <v>512</v>
      </c>
      <c r="D571" s="158" t="s">
        <v>5</v>
      </c>
      <c r="E571" s="122"/>
      <c r="F571" s="48">
        <v>42752415</v>
      </c>
      <c r="G571" s="115">
        <f>F571*E571</f>
        <v>0</v>
      </c>
      <c r="H571" s="129"/>
      <c r="I571" s="164"/>
      <c r="J571" s="164"/>
      <c r="K571" s="91"/>
      <c r="L571" s="91"/>
      <c r="M571" s="91"/>
      <c r="N571" s="91"/>
      <c r="O571" s="91"/>
      <c r="P571" s="91"/>
      <c r="Q571" s="91"/>
      <c r="R571" s="97"/>
      <c r="S571" s="165"/>
      <c r="T571" s="97"/>
      <c r="U571" s="100"/>
      <c r="V571" s="107"/>
      <c r="W571" s="91"/>
      <c r="X571" s="122">
        <v>2</v>
      </c>
      <c r="Y571" s="106">
        <f t="shared" si="219"/>
        <v>44248749.524999999</v>
      </c>
      <c r="Z571" s="106">
        <f t="shared" si="220"/>
        <v>88497499</v>
      </c>
      <c r="AA571" s="115"/>
      <c r="AB571" s="115"/>
      <c r="AC571" s="115"/>
      <c r="AD571" s="108">
        <f t="shared" si="221"/>
        <v>88497499</v>
      </c>
    </row>
    <row r="572" spans="1:243" ht="30" customHeight="1" x14ac:dyDescent="0.2">
      <c r="A572" s="91"/>
      <c r="B572" s="163"/>
      <c r="C572" s="102"/>
      <c r="D572" s="103"/>
      <c r="E572" s="166"/>
      <c r="F572" s="106"/>
      <c r="G572" s="106"/>
      <c r="H572" s="91"/>
      <c r="I572" s="164"/>
      <c r="J572" s="164"/>
      <c r="K572" s="91"/>
      <c r="L572" s="91"/>
      <c r="M572" s="91"/>
      <c r="N572" s="91"/>
      <c r="O572" s="91"/>
      <c r="P572" s="91"/>
      <c r="Q572" s="91"/>
      <c r="R572" s="97"/>
      <c r="S572" s="91"/>
      <c r="T572" s="97"/>
      <c r="U572" s="100">
        <f t="shared" si="194"/>
        <v>0</v>
      </c>
      <c r="V572" s="107">
        <f t="shared" si="195"/>
        <v>0</v>
      </c>
      <c r="W572" s="91"/>
      <c r="X572" s="106"/>
      <c r="Y572" s="106"/>
      <c r="Z572" s="106"/>
      <c r="AA572" s="106"/>
      <c r="AB572" s="106"/>
      <c r="AC572" s="106"/>
      <c r="AD572" s="106"/>
    </row>
    <row r="573" spans="1:243" x14ac:dyDescent="0.2">
      <c r="A573" s="91"/>
      <c r="B573" s="163"/>
      <c r="C573" s="102"/>
      <c r="D573" s="103"/>
      <c r="E573" s="166"/>
      <c r="F573" s="106"/>
      <c r="G573" s="106"/>
      <c r="H573" s="91"/>
      <c r="I573" s="164"/>
      <c r="J573" s="164"/>
      <c r="K573" s="91"/>
      <c r="L573" s="91"/>
      <c r="M573" s="91"/>
      <c r="N573" s="91"/>
      <c r="O573" s="91"/>
      <c r="P573" s="91"/>
      <c r="Q573" s="91"/>
      <c r="R573" s="97"/>
      <c r="S573" s="91"/>
      <c r="T573" s="97"/>
      <c r="U573" s="91"/>
      <c r="V573" s="91"/>
      <c r="W573" s="91"/>
      <c r="X573" s="106"/>
      <c r="Y573" s="106"/>
      <c r="Z573" s="106"/>
      <c r="AA573" s="106"/>
      <c r="AB573" s="106"/>
      <c r="AC573" s="106"/>
      <c r="AD573" s="106"/>
    </row>
    <row r="574" spans="1:243" x14ac:dyDescent="0.2">
      <c r="A574" s="91"/>
      <c r="B574" s="86"/>
      <c r="C574" s="209" t="s">
        <v>815</v>
      </c>
      <c r="D574" s="209"/>
      <c r="E574" s="209"/>
      <c r="F574" s="210"/>
      <c r="G574" s="162">
        <f>SUM(G548:G573)/2</f>
        <v>21692068</v>
      </c>
      <c r="H574" s="95"/>
      <c r="I574" s="95"/>
      <c r="J574" s="96"/>
      <c r="K574" s="96"/>
      <c r="L574" s="91"/>
      <c r="M574" s="91"/>
      <c r="N574" s="91"/>
      <c r="O574" s="91"/>
      <c r="P574" s="91"/>
      <c r="Q574" s="91"/>
      <c r="R574" s="97"/>
      <c r="S574" s="165"/>
      <c r="T574" s="97"/>
      <c r="U574" s="91"/>
      <c r="V574" s="91"/>
      <c r="W574" s="91"/>
      <c r="X574" s="162"/>
      <c r="Y574" s="162"/>
      <c r="Z574" s="162">
        <f>SUM(Z548:Z573)/2</f>
        <v>974055878</v>
      </c>
      <c r="AA574" s="162"/>
      <c r="AB574" s="162"/>
      <c r="AC574" s="162">
        <f>SUM(AC548:AC573)/2</f>
        <v>0</v>
      </c>
      <c r="AD574" s="162">
        <f>SUM(AD548:AD573)/2</f>
        <v>995747946</v>
      </c>
    </row>
    <row r="575" spans="1:243" x14ac:dyDescent="0.2">
      <c r="A575" s="58"/>
      <c r="B575" s="73"/>
      <c r="D575" s="44"/>
      <c r="E575" s="75"/>
      <c r="F575" s="45"/>
      <c r="G575" s="45"/>
      <c r="H575" s="34"/>
      <c r="I575" s="74"/>
      <c r="J575" s="74"/>
      <c r="K575" s="34"/>
      <c r="R575" s="61"/>
      <c r="T575" s="61"/>
      <c r="AD575" s="62"/>
    </row>
    <row r="576" spans="1:243" s="43" customFormat="1" ht="30" customHeight="1" x14ac:dyDescent="0.2">
      <c r="A576" s="58"/>
      <c r="B576" s="73"/>
      <c r="C576" s="39"/>
      <c r="D576" s="44"/>
      <c r="E576" s="46" t="s">
        <v>814</v>
      </c>
      <c r="F576" s="51">
        <v>0.19</v>
      </c>
      <c r="G576" s="52">
        <f>+G574*F576</f>
        <v>4121492.92</v>
      </c>
      <c r="H576" s="34"/>
      <c r="I576" s="74"/>
      <c r="J576" s="74"/>
      <c r="K576" s="34"/>
      <c r="L576" s="34"/>
      <c r="M576" s="34"/>
      <c r="N576" s="34"/>
      <c r="O576" s="34"/>
      <c r="P576" s="34"/>
      <c r="Q576" s="34"/>
      <c r="R576" s="61"/>
      <c r="S576" s="34"/>
      <c r="T576" s="61"/>
      <c r="U576" s="34"/>
      <c r="V576" s="34"/>
      <c r="W576" s="34"/>
      <c r="X576" s="34"/>
      <c r="Y576" s="34"/>
      <c r="Z576" s="48">
        <f>+Z574*F576</f>
        <v>185070616.81999999</v>
      </c>
      <c r="AA576" s="34"/>
      <c r="AB576" s="34"/>
      <c r="AC576" s="48">
        <f>+AC574*F576</f>
        <v>0</v>
      </c>
      <c r="AD576" s="48">
        <f>+AD574*F576</f>
        <v>189192109.74000001</v>
      </c>
      <c r="AE576" s="200"/>
      <c r="AF576" s="200"/>
      <c r="AG576" s="200"/>
      <c r="AH576" s="200"/>
      <c r="AI576" s="200"/>
      <c r="AJ576" s="200"/>
      <c r="AK576" s="200"/>
      <c r="AL576" s="200"/>
      <c r="AM576" s="200"/>
      <c r="AN576" s="200"/>
      <c r="AO576" s="200"/>
      <c r="AP576" s="200"/>
      <c r="AQ576" s="200"/>
      <c r="AR576" s="200"/>
      <c r="AS576" s="200"/>
      <c r="AT576" s="200"/>
      <c r="AU576" s="200"/>
      <c r="AV576" s="200"/>
      <c r="AW576" s="200"/>
      <c r="AX576" s="200"/>
      <c r="AY576" s="200"/>
      <c r="AZ576" s="200"/>
      <c r="BA576" s="200"/>
      <c r="BB576" s="200"/>
      <c r="BC576" s="200"/>
      <c r="BD576" s="200"/>
      <c r="BE576" s="200"/>
      <c r="BF576" s="200"/>
      <c r="BG576" s="200"/>
      <c r="BH576" s="200"/>
      <c r="BI576" s="200"/>
      <c r="BJ576" s="200"/>
      <c r="BK576" s="200"/>
      <c r="BL576" s="200"/>
      <c r="BM576" s="200"/>
      <c r="BN576" s="200"/>
      <c r="BO576" s="200"/>
      <c r="BP576" s="200"/>
      <c r="BQ576" s="200"/>
      <c r="BR576" s="200"/>
      <c r="BS576" s="200"/>
      <c r="BT576" s="200"/>
      <c r="BU576" s="200"/>
      <c r="BV576" s="200"/>
      <c r="BW576" s="200"/>
      <c r="BX576" s="200"/>
      <c r="BY576" s="200"/>
      <c r="BZ576" s="200"/>
      <c r="CA576" s="200"/>
      <c r="CB576" s="200"/>
      <c r="CC576" s="200"/>
      <c r="CD576" s="200"/>
      <c r="CE576" s="200"/>
      <c r="CF576" s="200"/>
      <c r="CG576" s="200"/>
      <c r="CH576" s="200"/>
      <c r="CI576" s="200"/>
      <c r="CJ576" s="200"/>
      <c r="CK576" s="200"/>
      <c r="CL576" s="200"/>
      <c r="CM576" s="200"/>
      <c r="CN576" s="200"/>
      <c r="CO576" s="200"/>
      <c r="CP576" s="200"/>
      <c r="CQ576" s="200"/>
      <c r="CR576" s="200"/>
      <c r="CS576" s="200"/>
      <c r="CT576" s="200"/>
      <c r="CU576" s="200"/>
      <c r="CV576" s="200"/>
      <c r="CW576" s="200"/>
      <c r="CX576" s="200"/>
      <c r="CY576" s="200"/>
      <c r="CZ576" s="200"/>
      <c r="DA576" s="200"/>
      <c r="DB576" s="200"/>
      <c r="DC576" s="200"/>
      <c r="DD576" s="200"/>
      <c r="DE576" s="200"/>
      <c r="DF576" s="200"/>
      <c r="DG576" s="200"/>
      <c r="DH576" s="200"/>
      <c r="DI576" s="200"/>
      <c r="DJ576" s="200"/>
      <c r="DK576" s="200"/>
      <c r="DL576" s="200"/>
      <c r="DM576" s="200"/>
      <c r="DN576" s="200"/>
      <c r="DO576" s="200"/>
      <c r="DP576" s="200"/>
      <c r="DQ576" s="200"/>
      <c r="DR576" s="200"/>
      <c r="DS576" s="200"/>
      <c r="DT576" s="200"/>
      <c r="DU576" s="200"/>
      <c r="DV576" s="200"/>
      <c r="DW576" s="200"/>
      <c r="DX576" s="200"/>
      <c r="DY576" s="200"/>
      <c r="DZ576" s="200"/>
      <c r="EA576" s="200"/>
      <c r="EB576" s="200"/>
      <c r="EC576" s="200"/>
      <c r="ED576" s="200"/>
      <c r="EE576" s="200"/>
      <c r="EF576" s="200"/>
      <c r="EG576" s="200"/>
      <c r="EH576" s="200"/>
      <c r="EI576" s="200"/>
      <c r="EJ576" s="200"/>
      <c r="EK576" s="200"/>
      <c r="EL576" s="200"/>
      <c r="EM576" s="200"/>
      <c r="EN576" s="200"/>
      <c r="EO576" s="200"/>
      <c r="EP576" s="200"/>
      <c r="EQ576" s="200"/>
      <c r="ER576" s="200"/>
      <c r="ES576" s="200"/>
      <c r="ET576" s="200"/>
      <c r="EU576" s="200"/>
      <c r="EV576" s="200"/>
      <c r="EW576" s="200"/>
      <c r="EX576" s="200"/>
      <c r="EY576" s="200"/>
      <c r="EZ576" s="200"/>
      <c r="FA576" s="200"/>
      <c r="FB576" s="200"/>
      <c r="FC576" s="200"/>
      <c r="FD576" s="200"/>
      <c r="FE576" s="200"/>
      <c r="FF576" s="200"/>
      <c r="FG576" s="200"/>
      <c r="FH576" s="200"/>
      <c r="FI576" s="200"/>
      <c r="FJ576" s="200"/>
      <c r="FK576" s="200"/>
      <c r="FL576" s="200"/>
      <c r="FM576" s="200"/>
      <c r="FN576" s="200"/>
      <c r="FO576" s="200"/>
      <c r="FP576" s="200"/>
      <c r="FQ576" s="200"/>
      <c r="FR576" s="200"/>
      <c r="FS576" s="200"/>
      <c r="FT576" s="200"/>
      <c r="FU576" s="200"/>
      <c r="FV576" s="200"/>
      <c r="FW576" s="200"/>
      <c r="FX576" s="200"/>
      <c r="FY576" s="200"/>
      <c r="FZ576" s="200"/>
      <c r="GA576" s="200"/>
      <c r="GB576" s="200"/>
      <c r="GC576" s="200"/>
      <c r="GD576" s="200"/>
      <c r="GE576" s="200"/>
      <c r="GF576" s="200"/>
      <c r="GG576" s="200"/>
      <c r="GH576" s="200"/>
      <c r="GI576" s="200"/>
      <c r="GJ576" s="200"/>
      <c r="GK576" s="200"/>
      <c r="GL576" s="200"/>
      <c r="GM576" s="200"/>
      <c r="GN576" s="200"/>
      <c r="GO576" s="200"/>
      <c r="GP576" s="200"/>
      <c r="GQ576" s="200"/>
      <c r="GR576" s="200"/>
      <c r="GS576" s="200"/>
      <c r="GT576" s="200"/>
      <c r="GU576" s="200"/>
      <c r="GV576" s="200"/>
      <c r="GW576" s="200"/>
      <c r="GX576" s="200"/>
      <c r="GY576" s="200"/>
      <c r="GZ576" s="200"/>
      <c r="HA576" s="200"/>
      <c r="HB576" s="200"/>
      <c r="HC576" s="200"/>
      <c r="HD576" s="200"/>
      <c r="HE576" s="200"/>
      <c r="HF576" s="200"/>
      <c r="HG576" s="200"/>
      <c r="HH576" s="200"/>
      <c r="HI576" s="200"/>
      <c r="HJ576" s="200"/>
      <c r="HK576" s="200"/>
      <c r="HL576" s="200"/>
      <c r="HM576" s="200"/>
      <c r="HN576" s="200"/>
      <c r="HO576" s="200"/>
      <c r="HP576" s="200"/>
      <c r="HQ576" s="200"/>
      <c r="HR576" s="200"/>
      <c r="HS576" s="200"/>
      <c r="HT576" s="200"/>
      <c r="HU576" s="200"/>
      <c r="HV576" s="200"/>
      <c r="HW576" s="200"/>
      <c r="HX576" s="200"/>
      <c r="HY576" s="200"/>
      <c r="HZ576" s="200"/>
      <c r="IA576" s="200"/>
      <c r="IB576" s="200"/>
      <c r="IC576" s="200"/>
      <c r="ID576" s="200"/>
      <c r="IE576" s="200"/>
      <c r="IF576" s="200"/>
      <c r="IG576" s="200"/>
      <c r="IH576" s="200"/>
      <c r="II576" s="200"/>
    </row>
    <row r="577" spans="1:243" x14ac:dyDescent="0.2">
      <c r="A577" s="58"/>
      <c r="B577" s="44"/>
      <c r="D577" s="44"/>
      <c r="E577" s="39"/>
      <c r="F577" s="39"/>
      <c r="G577" s="39"/>
      <c r="H577" s="59"/>
      <c r="I577" s="59"/>
      <c r="J577" s="60"/>
      <c r="K577" s="60"/>
      <c r="R577" s="61"/>
      <c r="T577" s="61"/>
      <c r="AD577" s="62"/>
    </row>
    <row r="578" spans="1:243" s="43" customFormat="1" ht="30" customHeight="1" x14ac:dyDescent="0.2">
      <c r="A578" s="66"/>
      <c r="B578" s="215" t="s">
        <v>812</v>
      </c>
      <c r="C578" s="215"/>
      <c r="D578" s="215"/>
      <c r="E578" s="215"/>
      <c r="F578" s="67"/>
      <c r="G578" s="50">
        <f>G576+G574</f>
        <v>25813560.920000002</v>
      </c>
      <c r="H578" s="68"/>
      <c r="I578" s="69"/>
      <c r="J578" s="70"/>
      <c r="K578" s="70"/>
      <c r="R578" s="71"/>
      <c r="T578" s="71"/>
      <c r="X578" s="50"/>
      <c r="Y578" s="50"/>
      <c r="Z578" s="50">
        <f>Z576+Z574</f>
        <v>1159126494.8199999</v>
      </c>
      <c r="AA578" s="50"/>
      <c r="AB578" s="50"/>
      <c r="AC578" s="50">
        <f>AC576+AC574</f>
        <v>0</v>
      </c>
      <c r="AD578" s="72">
        <f>AD576+AD574</f>
        <v>1184940055.74</v>
      </c>
      <c r="AE578" s="200"/>
      <c r="AF578" s="200"/>
      <c r="AG578" s="200"/>
      <c r="AH578" s="200"/>
      <c r="AI578" s="200"/>
      <c r="AJ578" s="200"/>
      <c r="AK578" s="200"/>
      <c r="AL578" s="200"/>
      <c r="AM578" s="200"/>
      <c r="AN578" s="200"/>
      <c r="AO578" s="200"/>
      <c r="AP578" s="200"/>
      <c r="AQ578" s="200"/>
      <c r="AR578" s="200"/>
      <c r="AS578" s="200"/>
      <c r="AT578" s="200"/>
      <c r="AU578" s="200"/>
      <c r="AV578" s="200"/>
      <c r="AW578" s="200"/>
      <c r="AX578" s="200"/>
      <c r="AY578" s="200"/>
      <c r="AZ578" s="200"/>
      <c r="BA578" s="200"/>
      <c r="BB578" s="200"/>
      <c r="BC578" s="200"/>
      <c r="BD578" s="200"/>
      <c r="BE578" s="200"/>
      <c r="BF578" s="200"/>
      <c r="BG578" s="200"/>
      <c r="BH578" s="200"/>
      <c r="BI578" s="200"/>
      <c r="BJ578" s="200"/>
      <c r="BK578" s="200"/>
      <c r="BL578" s="200"/>
      <c r="BM578" s="200"/>
      <c r="BN578" s="200"/>
      <c r="BO578" s="200"/>
      <c r="BP578" s="200"/>
      <c r="BQ578" s="200"/>
      <c r="BR578" s="200"/>
      <c r="BS578" s="200"/>
      <c r="BT578" s="200"/>
      <c r="BU578" s="200"/>
      <c r="BV578" s="200"/>
      <c r="BW578" s="200"/>
      <c r="BX578" s="200"/>
      <c r="BY578" s="200"/>
      <c r="BZ578" s="200"/>
      <c r="CA578" s="200"/>
      <c r="CB578" s="200"/>
      <c r="CC578" s="200"/>
      <c r="CD578" s="200"/>
      <c r="CE578" s="200"/>
      <c r="CF578" s="200"/>
      <c r="CG578" s="200"/>
      <c r="CH578" s="200"/>
      <c r="CI578" s="200"/>
      <c r="CJ578" s="200"/>
      <c r="CK578" s="200"/>
      <c r="CL578" s="200"/>
      <c r="CM578" s="200"/>
      <c r="CN578" s="200"/>
      <c r="CO578" s="200"/>
      <c r="CP578" s="200"/>
      <c r="CQ578" s="200"/>
      <c r="CR578" s="200"/>
      <c r="CS578" s="200"/>
      <c r="CT578" s="200"/>
      <c r="CU578" s="200"/>
      <c r="CV578" s="200"/>
      <c r="CW578" s="200"/>
      <c r="CX578" s="200"/>
      <c r="CY578" s="200"/>
      <c r="CZ578" s="200"/>
      <c r="DA578" s="200"/>
      <c r="DB578" s="200"/>
      <c r="DC578" s="200"/>
      <c r="DD578" s="200"/>
      <c r="DE578" s="200"/>
      <c r="DF578" s="200"/>
      <c r="DG578" s="200"/>
      <c r="DH578" s="200"/>
      <c r="DI578" s="200"/>
      <c r="DJ578" s="200"/>
      <c r="DK578" s="200"/>
      <c r="DL578" s="200"/>
      <c r="DM578" s="200"/>
      <c r="DN578" s="200"/>
      <c r="DO578" s="200"/>
      <c r="DP578" s="200"/>
      <c r="DQ578" s="200"/>
      <c r="DR578" s="200"/>
      <c r="DS578" s="200"/>
      <c r="DT578" s="200"/>
      <c r="DU578" s="200"/>
      <c r="DV578" s="200"/>
      <c r="DW578" s="200"/>
      <c r="DX578" s="200"/>
      <c r="DY578" s="200"/>
      <c r="DZ578" s="200"/>
      <c r="EA578" s="200"/>
      <c r="EB578" s="200"/>
      <c r="EC578" s="200"/>
      <c r="ED578" s="200"/>
      <c r="EE578" s="200"/>
      <c r="EF578" s="200"/>
      <c r="EG578" s="200"/>
      <c r="EH578" s="200"/>
      <c r="EI578" s="200"/>
      <c r="EJ578" s="200"/>
      <c r="EK578" s="200"/>
      <c r="EL578" s="200"/>
      <c r="EM578" s="200"/>
      <c r="EN578" s="200"/>
      <c r="EO578" s="200"/>
      <c r="EP578" s="200"/>
      <c r="EQ578" s="200"/>
      <c r="ER578" s="200"/>
      <c r="ES578" s="200"/>
      <c r="ET578" s="200"/>
      <c r="EU578" s="200"/>
      <c r="EV578" s="200"/>
      <c r="EW578" s="200"/>
      <c r="EX578" s="200"/>
      <c r="EY578" s="200"/>
      <c r="EZ578" s="200"/>
      <c r="FA578" s="200"/>
      <c r="FB578" s="200"/>
      <c r="FC578" s="200"/>
      <c r="FD578" s="200"/>
      <c r="FE578" s="200"/>
      <c r="FF578" s="200"/>
      <c r="FG578" s="200"/>
      <c r="FH578" s="200"/>
      <c r="FI578" s="200"/>
      <c r="FJ578" s="200"/>
      <c r="FK578" s="200"/>
      <c r="FL578" s="200"/>
      <c r="FM578" s="200"/>
      <c r="FN578" s="200"/>
      <c r="FO578" s="200"/>
      <c r="FP578" s="200"/>
      <c r="FQ578" s="200"/>
      <c r="FR578" s="200"/>
      <c r="FS578" s="200"/>
      <c r="FT578" s="200"/>
      <c r="FU578" s="200"/>
      <c r="FV578" s="200"/>
      <c r="FW578" s="200"/>
      <c r="FX578" s="200"/>
      <c r="FY578" s="200"/>
      <c r="FZ578" s="200"/>
      <c r="GA578" s="200"/>
      <c r="GB578" s="200"/>
      <c r="GC578" s="200"/>
      <c r="GD578" s="200"/>
      <c r="GE578" s="200"/>
      <c r="GF578" s="200"/>
      <c r="GG578" s="200"/>
      <c r="GH578" s="200"/>
      <c r="GI578" s="200"/>
      <c r="GJ578" s="200"/>
      <c r="GK578" s="200"/>
      <c r="GL578" s="200"/>
      <c r="GM578" s="200"/>
      <c r="GN578" s="200"/>
      <c r="GO578" s="200"/>
      <c r="GP578" s="200"/>
      <c r="GQ578" s="200"/>
      <c r="GR578" s="200"/>
      <c r="GS578" s="200"/>
      <c r="GT578" s="200"/>
      <c r="GU578" s="200"/>
      <c r="GV578" s="200"/>
      <c r="GW578" s="200"/>
      <c r="GX578" s="200"/>
      <c r="GY578" s="200"/>
      <c r="GZ578" s="200"/>
      <c r="HA578" s="200"/>
      <c r="HB578" s="200"/>
      <c r="HC578" s="200"/>
      <c r="HD578" s="200"/>
      <c r="HE578" s="200"/>
      <c r="HF578" s="200"/>
      <c r="HG578" s="200"/>
      <c r="HH578" s="200"/>
      <c r="HI578" s="200"/>
      <c r="HJ578" s="200"/>
      <c r="HK578" s="200"/>
      <c r="HL578" s="200"/>
      <c r="HM578" s="200"/>
      <c r="HN578" s="200"/>
      <c r="HO578" s="200"/>
      <c r="HP578" s="200"/>
      <c r="HQ578" s="200"/>
      <c r="HR578" s="200"/>
      <c r="HS578" s="200"/>
      <c r="HT578" s="200"/>
      <c r="HU578" s="200"/>
      <c r="HV578" s="200"/>
      <c r="HW578" s="200"/>
      <c r="HX578" s="200"/>
      <c r="HY578" s="200"/>
      <c r="HZ578" s="200"/>
      <c r="IA578" s="200"/>
      <c r="IB578" s="200"/>
      <c r="IC578" s="200"/>
      <c r="ID578" s="200"/>
      <c r="IE578" s="200"/>
      <c r="IF578" s="200"/>
      <c r="IG578" s="200"/>
      <c r="IH578" s="200"/>
      <c r="II578" s="200"/>
    </row>
    <row r="579" spans="1:243" x14ac:dyDescent="0.2">
      <c r="A579" s="58"/>
      <c r="B579" s="44"/>
      <c r="D579" s="44"/>
      <c r="E579" s="39"/>
      <c r="F579" s="39"/>
      <c r="G579" s="39"/>
      <c r="H579" s="59"/>
      <c r="I579" s="59"/>
      <c r="J579" s="60"/>
      <c r="K579" s="60"/>
      <c r="R579" s="61"/>
      <c r="T579" s="61"/>
      <c r="AD579" s="62"/>
    </row>
    <row r="580" spans="1:243" s="185" customFormat="1" ht="37.5" customHeight="1" x14ac:dyDescent="0.2">
      <c r="A580" s="177"/>
      <c r="B580" s="216" t="s">
        <v>813</v>
      </c>
      <c r="C580" s="216"/>
      <c r="D580" s="216"/>
      <c r="E580" s="216"/>
      <c r="F580" s="178"/>
      <c r="G580" s="179">
        <f>G578+G543</f>
        <v>2273461225.2635689</v>
      </c>
      <c r="H580" s="180"/>
      <c r="I580" s="181"/>
      <c r="J580" s="182"/>
      <c r="K580" s="182"/>
      <c r="L580" s="183"/>
      <c r="M580" s="183"/>
      <c r="N580" s="183"/>
      <c r="O580" s="183"/>
      <c r="P580" s="183"/>
      <c r="Q580" s="183"/>
      <c r="R580" s="184"/>
      <c r="S580" s="183"/>
      <c r="T580" s="184"/>
      <c r="U580" s="183"/>
      <c r="V580" s="183"/>
      <c r="W580" s="183"/>
      <c r="X580" s="179"/>
      <c r="Y580" s="179"/>
      <c r="Z580" s="179">
        <f>Z578+Z543</f>
        <v>8087379729.6447392</v>
      </c>
      <c r="AA580" s="179"/>
      <c r="AB580" s="179"/>
      <c r="AC580" s="179">
        <f>AC578+AC543</f>
        <v>808931377.79999995</v>
      </c>
      <c r="AD580" s="196">
        <f>AD578+AD543</f>
        <v>11169772332.708309</v>
      </c>
      <c r="AE580" s="197"/>
      <c r="AF580" s="197"/>
      <c r="AG580" s="197"/>
      <c r="AH580" s="197"/>
      <c r="AI580" s="197"/>
      <c r="AJ580" s="197"/>
      <c r="AK580" s="197"/>
      <c r="AL580" s="197"/>
      <c r="AM580" s="197"/>
      <c r="AN580" s="197"/>
      <c r="AO580" s="197"/>
      <c r="AP580" s="197"/>
      <c r="AQ580" s="197"/>
      <c r="AR580" s="197"/>
      <c r="AS580" s="197"/>
      <c r="AT580" s="197"/>
      <c r="AU580" s="197"/>
      <c r="AV580" s="197"/>
      <c r="AW580" s="197"/>
      <c r="AX580" s="197"/>
      <c r="AY580" s="197"/>
      <c r="AZ580" s="197"/>
      <c r="BA580" s="197"/>
      <c r="BB580" s="197"/>
      <c r="BC580" s="197"/>
      <c r="BD580" s="197"/>
      <c r="BE580" s="197"/>
      <c r="BF580" s="197"/>
      <c r="BG580" s="197"/>
      <c r="BH580" s="197"/>
      <c r="BI580" s="197"/>
      <c r="BJ580" s="197"/>
      <c r="BK580" s="197"/>
      <c r="BL580" s="197"/>
      <c r="BM580" s="197"/>
      <c r="BN580" s="197"/>
      <c r="BO580" s="197"/>
      <c r="BP580" s="197"/>
      <c r="BQ580" s="197"/>
      <c r="BR580" s="197"/>
      <c r="BS580" s="197"/>
      <c r="BT580" s="197"/>
      <c r="BU580" s="197"/>
      <c r="BV580" s="197"/>
      <c r="BW580" s="197"/>
      <c r="BX580" s="197"/>
      <c r="BY580" s="197"/>
      <c r="BZ580" s="197"/>
      <c r="CA580" s="197"/>
      <c r="CB580" s="197"/>
      <c r="CC580" s="197"/>
      <c r="CD580" s="197"/>
      <c r="CE580" s="197"/>
      <c r="CF580" s="197"/>
      <c r="CG580" s="197"/>
      <c r="CH580" s="197"/>
      <c r="CI580" s="197"/>
      <c r="CJ580" s="197"/>
      <c r="CK580" s="197"/>
      <c r="CL580" s="197"/>
      <c r="CM580" s="197"/>
      <c r="CN580" s="197"/>
      <c r="CO580" s="197"/>
      <c r="CP580" s="197"/>
      <c r="CQ580" s="197"/>
      <c r="CR580" s="197"/>
      <c r="CS580" s="197"/>
      <c r="CT580" s="197"/>
      <c r="CU580" s="197"/>
      <c r="CV580" s="197"/>
      <c r="CW580" s="197"/>
      <c r="CX580" s="197"/>
      <c r="CY580" s="197"/>
      <c r="CZ580" s="197"/>
      <c r="DA580" s="197"/>
      <c r="DB580" s="197"/>
      <c r="DC580" s="197"/>
      <c r="DD580" s="197"/>
      <c r="DE580" s="197"/>
      <c r="DF580" s="197"/>
      <c r="DG580" s="197"/>
      <c r="DH580" s="197"/>
      <c r="DI580" s="197"/>
      <c r="DJ580" s="197"/>
      <c r="DK580" s="197"/>
      <c r="DL580" s="197"/>
      <c r="DM580" s="197"/>
      <c r="DN580" s="197"/>
      <c r="DO580" s="197"/>
      <c r="DP580" s="197"/>
      <c r="DQ580" s="197"/>
      <c r="DR580" s="197"/>
      <c r="DS580" s="197"/>
      <c r="DT580" s="197"/>
      <c r="DU580" s="197"/>
      <c r="DV580" s="197"/>
      <c r="DW580" s="197"/>
      <c r="DX580" s="197"/>
      <c r="DY580" s="197"/>
      <c r="DZ580" s="197"/>
      <c r="EA580" s="197"/>
      <c r="EB580" s="197"/>
      <c r="EC580" s="197"/>
      <c r="ED580" s="197"/>
      <c r="EE580" s="197"/>
      <c r="EF580" s="197"/>
      <c r="EG580" s="197"/>
      <c r="EH580" s="197"/>
      <c r="EI580" s="197"/>
      <c r="EJ580" s="197"/>
      <c r="EK580" s="197"/>
      <c r="EL580" s="197"/>
      <c r="EM580" s="197"/>
      <c r="EN580" s="197"/>
      <c r="EO580" s="197"/>
      <c r="EP580" s="197"/>
      <c r="EQ580" s="197"/>
      <c r="ER580" s="197"/>
      <c r="ES580" s="197"/>
      <c r="ET580" s="197"/>
      <c r="EU580" s="197"/>
      <c r="EV580" s="197"/>
      <c r="EW580" s="197"/>
      <c r="EX580" s="197"/>
      <c r="EY580" s="197"/>
      <c r="EZ580" s="197"/>
      <c r="FA580" s="197"/>
      <c r="FB580" s="197"/>
      <c r="FC580" s="197"/>
      <c r="FD580" s="197"/>
      <c r="FE580" s="197"/>
      <c r="FF580" s="197"/>
      <c r="FG580" s="197"/>
      <c r="FH580" s="197"/>
      <c r="FI580" s="197"/>
      <c r="FJ580" s="197"/>
      <c r="FK580" s="197"/>
      <c r="FL580" s="197"/>
      <c r="FM580" s="197"/>
      <c r="FN580" s="197"/>
      <c r="FO580" s="197"/>
      <c r="FP580" s="197"/>
      <c r="FQ580" s="197"/>
      <c r="FR580" s="197"/>
      <c r="FS580" s="197"/>
      <c r="FT580" s="197"/>
      <c r="FU580" s="197"/>
      <c r="FV580" s="197"/>
      <c r="FW580" s="197"/>
      <c r="FX580" s="197"/>
      <c r="FY580" s="197"/>
      <c r="FZ580" s="197"/>
      <c r="GA580" s="197"/>
      <c r="GB580" s="197"/>
      <c r="GC580" s="197"/>
      <c r="GD580" s="197"/>
      <c r="GE580" s="197"/>
      <c r="GF580" s="197"/>
      <c r="GG580" s="197"/>
      <c r="GH580" s="197"/>
      <c r="GI580" s="197"/>
      <c r="GJ580" s="197"/>
      <c r="GK580" s="197"/>
      <c r="GL580" s="197"/>
      <c r="GM580" s="197"/>
      <c r="GN580" s="197"/>
      <c r="GO580" s="197"/>
      <c r="GP580" s="197"/>
      <c r="GQ580" s="197"/>
      <c r="GR580" s="197"/>
      <c r="GS580" s="197"/>
      <c r="GT580" s="197"/>
      <c r="GU580" s="197"/>
      <c r="GV580" s="197"/>
      <c r="GW580" s="197"/>
      <c r="GX580" s="197"/>
      <c r="GY580" s="197"/>
      <c r="GZ580" s="197"/>
      <c r="HA580" s="197"/>
      <c r="HB580" s="197"/>
      <c r="HC580" s="197"/>
      <c r="HD580" s="197"/>
      <c r="HE580" s="197"/>
      <c r="HF580" s="197"/>
      <c r="HG580" s="197"/>
      <c r="HH580" s="197"/>
      <c r="HI580" s="197"/>
      <c r="HJ580" s="197"/>
      <c r="HK580" s="197"/>
      <c r="HL580" s="197"/>
      <c r="HM580" s="197"/>
      <c r="HN580" s="197"/>
      <c r="HO580" s="197"/>
      <c r="HP580" s="197"/>
      <c r="HQ580" s="197"/>
      <c r="HR580" s="197"/>
      <c r="HS580" s="197"/>
      <c r="HT580" s="197"/>
      <c r="HU580" s="197"/>
      <c r="HV580" s="197"/>
      <c r="HW580" s="197"/>
      <c r="HX580" s="197"/>
      <c r="HY580" s="197"/>
      <c r="HZ580" s="197"/>
      <c r="IA580" s="197"/>
      <c r="IB580" s="197"/>
      <c r="IC580" s="197"/>
      <c r="ID580" s="197"/>
      <c r="IE580" s="197"/>
      <c r="IF580" s="197"/>
      <c r="IG580" s="197"/>
      <c r="IH580" s="197"/>
      <c r="II580" s="197"/>
    </row>
    <row r="581" spans="1:243" x14ac:dyDescent="0.2">
      <c r="A581" s="58"/>
      <c r="B581" s="44"/>
      <c r="D581" s="44"/>
      <c r="E581" s="39"/>
      <c r="F581" s="39"/>
      <c r="G581" s="39"/>
      <c r="H581" s="59"/>
      <c r="I581" s="59"/>
      <c r="J581" s="60"/>
      <c r="K581" s="60"/>
      <c r="R581" s="61"/>
      <c r="T581" s="61"/>
      <c r="AD581" s="62"/>
    </row>
    <row r="582" spans="1:243" x14ac:dyDescent="0.2">
      <c r="A582" s="58"/>
      <c r="B582" s="44"/>
      <c r="D582" s="44"/>
      <c r="E582" s="39"/>
      <c r="F582" s="39"/>
      <c r="G582" s="39"/>
      <c r="H582" s="59"/>
      <c r="I582" s="59"/>
      <c r="J582" s="60"/>
      <c r="K582" s="60"/>
      <c r="R582" s="61"/>
      <c r="T582" s="61"/>
      <c r="AD582" s="62"/>
    </row>
    <row r="583" spans="1:243" x14ac:dyDescent="0.2">
      <c r="A583" s="58"/>
      <c r="B583" s="44"/>
      <c r="D583" s="44"/>
      <c r="E583" s="39"/>
      <c r="F583" s="39"/>
      <c r="G583" s="39"/>
      <c r="H583" s="59"/>
      <c r="I583" s="59"/>
      <c r="J583" s="60"/>
      <c r="K583" s="60"/>
      <c r="R583" s="61"/>
      <c r="T583" s="61"/>
      <c r="AD583" s="62"/>
    </row>
    <row r="584" spans="1:243" x14ac:dyDescent="0.2">
      <c r="A584" s="58"/>
      <c r="B584" s="44"/>
      <c r="D584" s="44"/>
      <c r="E584" s="39"/>
      <c r="F584" s="39"/>
      <c r="G584" s="39"/>
      <c r="H584" s="59"/>
      <c r="I584" s="59"/>
      <c r="J584" s="60"/>
      <c r="K584" s="60"/>
      <c r="R584" s="61"/>
      <c r="T584" s="61"/>
      <c r="AD584" s="62"/>
    </row>
    <row r="585" spans="1:243" x14ac:dyDescent="0.2">
      <c r="A585" s="58"/>
      <c r="B585" s="44"/>
      <c r="D585" s="44"/>
      <c r="E585" s="39"/>
      <c r="F585" s="39"/>
      <c r="G585" s="39"/>
      <c r="H585" s="59"/>
      <c r="I585" s="59"/>
      <c r="J585" s="60"/>
      <c r="K585" s="60"/>
      <c r="R585" s="61"/>
      <c r="T585" s="61"/>
      <c r="AD585" s="62"/>
    </row>
    <row r="586" spans="1:243" x14ac:dyDescent="0.2">
      <c r="A586" s="58"/>
      <c r="B586" s="44"/>
      <c r="D586" s="44"/>
      <c r="E586" s="39"/>
      <c r="F586" s="39"/>
      <c r="G586" s="39"/>
      <c r="H586" s="59"/>
      <c r="I586" s="59"/>
      <c r="J586" s="60"/>
      <c r="K586" s="60"/>
      <c r="R586" s="61"/>
      <c r="T586" s="61"/>
      <c r="AD586" s="62"/>
    </row>
    <row r="587" spans="1:243" x14ac:dyDescent="0.2">
      <c r="A587" s="58"/>
      <c r="B587" s="44"/>
      <c r="D587" s="44"/>
      <c r="E587" s="76"/>
      <c r="F587" s="39"/>
      <c r="G587" s="65"/>
      <c r="H587" s="59"/>
      <c r="I587" s="59"/>
      <c r="J587" s="60"/>
      <c r="K587" s="60"/>
      <c r="R587" s="61"/>
      <c r="T587" s="61"/>
      <c r="AD587" s="62"/>
    </row>
    <row r="588" spans="1:243" x14ac:dyDescent="0.2">
      <c r="A588" s="58"/>
      <c r="B588" s="44"/>
      <c r="D588" s="44"/>
      <c r="E588" s="76"/>
      <c r="F588" s="39"/>
      <c r="G588" s="39"/>
      <c r="H588" s="59"/>
      <c r="I588" s="59"/>
      <c r="J588" s="60"/>
      <c r="K588" s="60"/>
      <c r="R588" s="61"/>
      <c r="T588" s="61"/>
      <c r="AD588" s="62"/>
    </row>
    <row r="589" spans="1:243" x14ac:dyDescent="0.2">
      <c r="A589" s="58"/>
      <c r="B589" s="44"/>
      <c r="C589" s="73"/>
      <c r="D589" s="44"/>
      <c r="E589" s="39"/>
      <c r="F589" s="39"/>
      <c r="G589" s="39"/>
      <c r="H589" s="59"/>
      <c r="I589" s="59"/>
      <c r="J589" s="60"/>
      <c r="K589" s="60"/>
      <c r="R589" s="61"/>
      <c r="T589" s="61"/>
      <c r="AD589" s="62"/>
    </row>
    <row r="590" spans="1:243" ht="15" thickBot="1" x14ac:dyDescent="0.25">
      <c r="A590" s="77"/>
      <c r="B590" s="78"/>
      <c r="C590" s="79"/>
      <c r="D590" s="78"/>
      <c r="E590" s="79"/>
      <c r="F590" s="79"/>
      <c r="G590" s="79"/>
      <c r="H590" s="80"/>
      <c r="I590" s="80"/>
      <c r="J590" s="81"/>
      <c r="K590" s="81"/>
      <c r="L590" s="82"/>
      <c r="M590" s="82"/>
      <c r="N590" s="82"/>
      <c r="O590" s="82"/>
      <c r="P590" s="82"/>
      <c r="Q590" s="82"/>
      <c r="R590" s="83"/>
      <c r="S590" s="82"/>
      <c r="T590" s="83"/>
      <c r="U590" s="82"/>
      <c r="V590" s="82"/>
      <c r="W590" s="82"/>
      <c r="X590" s="82"/>
      <c r="Y590" s="82"/>
      <c r="Z590" s="82"/>
      <c r="AA590" s="82"/>
      <c r="AB590" s="82"/>
      <c r="AC590" s="82"/>
      <c r="AD590" s="84"/>
    </row>
    <row r="591" spans="1:243" x14ac:dyDescent="0.2">
      <c r="B591" s="44"/>
      <c r="D591" s="44"/>
      <c r="E591" s="39"/>
      <c r="F591" s="39"/>
      <c r="G591" s="39"/>
    </row>
    <row r="592" spans="1:243" x14ac:dyDescent="0.2">
      <c r="B592" s="44"/>
      <c r="D592" s="44"/>
      <c r="E592" s="39"/>
      <c r="F592" s="39"/>
      <c r="G592" s="39"/>
    </row>
    <row r="593" spans="7:28" x14ac:dyDescent="0.2">
      <c r="Y593" s="176"/>
    </row>
    <row r="594" spans="7:28" x14ac:dyDescent="0.2">
      <c r="Y594" s="175"/>
    </row>
    <row r="595" spans="7:28" x14ac:dyDescent="0.2">
      <c r="Y595" s="175"/>
    </row>
    <row r="596" spans="7:28" ht="15" x14ac:dyDescent="0.2">
      <c r="G596" s="54"/>
      <c r="X596" s="201"/>
      <c r="Y596" s="201"/>
      <c r="Z596" s="201"/>
      <c r="AA596" s="201"/>
      <c r="AB596" s="201"/>
    </row>
    <row r="597" spans="7:28" ht="16" x14ac:dyDescent="0.2">
      <c r="X597" s="202"/>
      <c r="Y597" s="203"/>
      <c r="Z597" s="203"/>
      <c r="AA597" s="203"/>
      <c r="AB597" s="203"/>
    </row>
    <row r="598" spans="7:28" ht="16" x14ac:dyDescent="0.2">
      <c r="G598" s="42"/>
      <c r="X598" s="202"/>
      <c r="Y598" s="203"/>
      <c r="Z598" s="203"/>
      <c r="AA598" s="203"/>
      <c r="AB598" s="203"/>
    </row>
    <row r="599" spans="7:28" ht="15" x14ac:dyDescent="0.2">
      <c r="X599" s="202"/>
      <c r="Y599" s="204"/>
      <c r="Z599" s="204"/>
      <c r="AA599" s="204"/>
      <c r="AB599" s="204"/>
    </row>
    <row r="600" spans="7:28" ht="15" x14ac:dyDescent="0.2">
      <c r="X600" s="202"/>
      <c r="Y600" s="205"/>
      <c r="Z600" s="205"/>
      <c r="AA600" s="205"/>
      <c r="AB600" s="205"/>
    </row>
    <row r="602" spans="7:28" x14ac:dyDescent="0.2">
      <c r="Y602" s="174"/>
      <c r="Z602" s="174"/>
      <c r="AA602" s="174"/>
    </row>
  </sheetData>
  <mergeCells count="56">
    <mergeCell ref="AD417:AD429"/>
    <mergeCell ref="A2:AD2"/>
    <mergeCell ref="C1:AC1"/>
    <mergeCell ref="C80:F80"/>
    <mergeCell ref="C82:F82"/>
    <mergeCell ref="C86:F86"/>
    <mergeCell ref="C44:F44"/>
    <mergeCell ref="C64:F64"/>
    <mergeCell ref="C66:F66"/>
    <mergeCell ref="C69:F69"/>
    <mergeCell ref="C71:F71"/>
    <mergeCell ref="C42:F42"/>
    <mergeCell ref="C6:F6"/>
    <mergeCell ref="C34:F34"/>
    <mergeCell ref="C36:F36"/>
    <mergeCell ref="E5:G5"/>
    <mergeCell ref="C118:F118"/>
    <mergeCell ref="C120:F120"/>
    <mergeCell ref="C133:F133"/>
    <mergeCell ref="C156:F156"/>
    <mergeCell ref="C158:F158"/>
    <mergeCell ref="C148:F148"/>
    <mergeCell ref="C146:F146"/>
    <mergeCell ref="C135:F135"/>
    <mergeCell ref="B578:E578"/>
    <mergeCell ref="B580:E580"/>
    <mergeCell ref="C545:F545"/>
    <mergeCell ref="C466:F466"/>
    <mergeCell ref="C468:F468"/>
    <mergeCell ref="C506:F506"/>
    <mergeCell ref="C574:F574"/>
    <mergeCell ref="B541:F541"/>
    <mergeCell ref="B543:E543"/>
    <mergeCell ref="C508:F508"/>
    <mergeCell ref="C518:F518"/>
    <mergeCell ref="C528:F528"/>
    <mergeCell ref="C532:F532"/>
    <mergeCell ref="B535:F535"/>
    <mergeCell ref="C520:F520"/>
    <mergeCell ref="C526:F526"/>
    <mergeCell ref="X5:Z5"/>
    <mergeCell ref="AA5:AC5"/>
    <mergeCell ref="Y417:Y429"/>
    <mergeCell ref="Z417:Z429"/>
    <mergeCell ref="AA417:AA429"/>
    <mergeCell ref="AB417:AB429"/>
    <mergeCell ref="AC417:AC429"/>
    <mergeCell ref="G417:G429"/>
    <mergeCell ref="C168:F168"/>
    <mergeCell ref="C170:F170"/>
    <mergeCell ref="C209:F209"/>
    <mergeCell ref="C367:F367"/>
    <mergeCell ref="C369:F369"/>
    <mergeCell ref="C185:F185"/>
    <mergeCell ref="C183:F183"/>
    <mergeCell ref="F417:F429"/>
  </mergeCells>
  <phoneticPr fontId="9" type="noConversion"/>
  <printOptions horizontalCentered="1"/>
  <pageMargins left="0.70866141732283472" right="0.70866141732283472" top="0.74803149606299213" bottom="0.74803149606299213" header="0.31496062992125984" footer="0.31496062992125984"/>
  <pageSetup scale="60" fitToHeight="12" orientation="portrait" r:id="rId1"/>
  <ignoredErrors>
    <ignoredError sqref="Z563 G563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B71F4-3955-4669-9D2F-94B74DB8486E}">
  <sheetPr codeName="Hoja6"/>
  <dimension ref="A1:C7"/>
  <sheetViews>
    <sheetView workbookViewId="0">
      <selection activeCell="D578" sqref="D578"/>
    </sheetView>
  </sheetViews>
  <sheetFormatPr baseColWidth="10" defaultRowHeight="16" x14ac:dyDescent="0.2"/>
  <sheetData>
    <row r="1" spans="1:3" x14ac:dyDescent="0.2">
      <c r="A1" s="224" t="str">
        <f>'PRESUPUESTO FINAL'!C110</f>
        <v>REPELLO MEDIA CANA</v>
      </c>
      <c r="B1" s="224"/>
      <c r="C1" s="224"/>
    </row>
    <row r="2" spans="1:3" x14ac:dyDescent="0.2">
      <c r="B2" t="s">
        <v>11</v>
      </c>
    </row>
    <row r="3" spans="1:3" x14ac:dyDescent="0.2">
      <c r="A3" t="s">
        <v>228</v>
      </c>
      <c r="B3">
        <v>51.12</v>
      </c>
    </row>
    <row r="4" spans="1:3" x14ac:dyDescent="0.2">
      <c r="A4" t="s">
        <v>236</v>
      </c>
      <c r="B4">
        <v>2.27</v>
      </c>
    </row>
    <row r="5" spans="1:3" x14ac:dyDescent="0.2">
      <c r="A5" t="s">
        <v>236</v>
      </c>
      <c r="B5">
        <v>2.21</v>
      </c>
    </row>
    <row r="6" spans="1:3" x14ac:dyDescent="0.2">
      <c r="A6" t="s">
        <v>236</v>
      </c>
      <c r="B6">
        <v>101.28</v>
      </c>
    </row>
    <row r="7" spans="1:3" x14ac:dyDescent="0.2">
      <c r="A7" t="s">
        <v>265</v>
      </c>
      <c r="B7" s="7">
        <f>SUM(B3:B6)</f>
        <v>156.88</v>
      </c>
    </row>
  </sheetData>
  <mergeCells count="1">
    <mergeCell ref="A1:C1"/>
  </mergeCells>
  <phoneticPr fontId="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F6D42-701D-4BFE-B3FA-1CE7AEB31A49}">
  <sheetPr codeName="Hoja7"/>
  <dimension ref="A1:C4"/>
  <sheetViews>
    <sheetView workbookViewId="0">
      <selection activeCell="D578" sqref="D578"/>
    </sheetView>
  </sheetViews>
  <sheetFormatPr baseColWidth="10" defaultRowHeight="16" x14ac:dyDescent="0.2"/>
  <cols>
    <col min="2" max="2" width="13.6640625" bestFit="1" customWidth="1"/>
  </cols>
  <sheetData>
    <row r="1" spans="1:3" x14ac:dyDescent="0.2">
      <c r="A1" t="s">
        <v>228</v>
      </c>
      <c r="B1" t="s">
        <v>239</v>
      </c>
      <c r="C1">
        <v>144.63999999999999</v>
      </c>
    </row>
    <row r="2" spans="1:3" x14ac:dyDescent="0.2">
      <c r="A2" t="s">
        <v>236</v>
      </c>
      <c r="B2" t="s">
        <v>239</v>
      </c>
      <c r="C2">
        <v>391</v>
      </c>
    </row>
    <row r="3" spans="1:3" x14ac:dyDescent="0.2">
      <c r="B3" t="s">
        <v>624</v>
      </c>
      <c r="C3">
        <v>25.39</v>
      </c>
    </row>
    <row r="4" spans="1:3" x14ac:dyDescent="0.2">
      <c r="B4" t="s">
        <v>267</v>
      </c>
      <c r="C4" s="7">
        <f>SUM(C1:C3)</f>
        <v>561.03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17973-7BB6-45A6-BDD0-CD34670C54AD}">
  <sheetPr codeName="Hoja8"/>
  <dimension ref="A1:D11"/>
  <sheetViews>
    <sheetView workbookViewId="0">
      <selection activeCell="D578" sqref="D578"/>
    </sheetView>
  </sheetViews>
  <sheetFormatPr baseColWidth="10" defaultRowHeight="16" x14ac:dyDescent="0.2"/>
  <cols>
    <col min="1" max="1" width="16.33203125" bestFit="1" customWidth="1"/>
    <col min="2" max="2" width="16.33203125" customWidth="1"/>
    <col min="3" max="3" width="39.33203125" bestFit="1" customWidth="1"/>
    <col min="4" max="4" width="39.6640625" bestFit="1" customWidth="1"/>
  </cols>
  <sheetData>
    <row r="1" spans="1:4" x14ac:dyDescent="0.2">
      <c r="B1" t="s">
        <v>615</v>
      </c>
      <c r="C1" t="str">
        <f>'PRESUPUESTO FINAL'!C522</f>
        <v>PLANTA ORNAMENTAL PEQUENA H= 20- 40CM</v>
      </c>
      <c r="D1" t="str">
        <f>'PRESUPUESTO FINAL'!C523</f>
        <v>PLANTA ORNAMENTAL GRANDE H= 50- 80CMS</v>
      </c>
    </row>
    <row r="2" spans="1:4" x14ac:dyDescent="0.2">
      <c r="A2" s="28" t="s">
        <v>225</v>
      </c>
      <c r="B2" s="28"/>
    </row>
    <row r="3" spans="1:4" x14ac:dyDescent="0.2">
      <c r="A3" t="s">
        <v>604</v>
      </c>
      <c r="B3">
        <f>3.44+4.87+3.8</f>
        <v>12.11</v>
      </c>
      <c r="C3">
        <f>B3</f>
        <v>12.11</v>
      </c>
      <c r="D3">
        <f>B3</f>
        <v>12.11</v>
      </c>
    </row>
    <row r="4" spans="1:4" x14ac:dyDescent="0.2">
      <c r="A4" s="28" t="s">
        <v>228</v>
      </c>
      <c r="B4" s="28"/>
    </row>
    <row r="5" spans="1:4" x14ac:dyDescent="0.2">
      <c r="A5" t="s">
        <v>610</v>
      </c>
      <c r="B5">
        <v>5.38</v>
      </c>
      <c r="C5">
        <f>B5</f>
        <v>5.38</v>
      </c>
      <c r="D5">
        <f t="shared" ref="D5:D7" si="0">B5*2</f>
        <v>10.76</v>
      </c>
    </row>
    <row r="6" spans="1:4" x14ac:dyDescent="0.2">
      <c r="A6" t="s">
        <v>611</v>
      </c>
      <c r="B6">
        <v>2</v>
      </c>
      <c r="C6">
        <f t="shared" ref="C6:C9" si="1">B6</f>
        <v>2</v>
      </c>
      <c r="D6">
        <f t="shared" si="0"/>
        <v>4</v>
      </c>
    </row>
    <row r="7" spans="1:4" x14ac:dyDescent="0.2">
      <c r="A7" t="s">
        <v>604</v>
      </c>
      <c r="B7">
        <v>4.9800000000000004</v>
      </c>
      <c r="C7">
        <f t="shared" si="1"/>
        <v>4.9800000000000004</v>
      </c>
      <c r="D7">
        <f t="shared" si="0"/>
        <v>9.9600000000000009</v>
      </c>
    </row>
    <row r="8" spans="1:4" x14ac:dyDescent="0.2">
      <c r="A8" s="28" t="s">
        <v>236</v>
      </c>
      <c r="B8" s="28"/>
    </row>
    <row r="9" spans="1:4" x14ac:dyDescent="0.2">
      <c r="A9" t="s">
        <v>604</v>
      </c>
      <c r="B9">
        <v>4.9800000000000004</v>
      </c>
      <c r="C9">
        <f t="shared" si="1"/>
        <v>4.9800000000000004</v>
      </c>
      <c r="D9">
        <f t="shared" ref="D9" si="2">B9*2</f>
        <v>9.9600000000000009</v>
      </c>
    </row>
    <row r="11" spans="1:4" x14ac:dyDescent="0.2">
      <c r="B11" t="s">
        <v>265</v>
      </c>
      <c r="C11" s="30">
        <f>SUM(C3:C9)</f>
        <v>29.45</v>
      </c>
      <c r="D11" s="30">
        <f>SUM(D3:D9)</f>
        <v>46.79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6BF9D-A24C-451C-B4AC-734C49059641}">
  <sheetPr codeName="Hoja9"/>
  <dimension ref="A2:D10"/>
  <sheetViews>
    <sheetView workbookViewId="0">
      <selection activeCell="D578" sqref="D578"/>
    </sheetView>
  </sheetViews>
  <sheetFormatPr baseColWidth="10" defaultRowHeight="16" x14ac:dyDescent="0.2"/>
  <cols>
    <col min="1" max="1" width="16.33203125" bestFit="1" customWidth="1"/>
    <col min="3" max="4" width="12.6640625" bestFit="1" customWidth="1"/>
  </cols>
  <sheetData>
    <row r="2" spans="1:4" x14ac:dyDescent="0.2">
      <c r="A2" s="28" t="s">
        <v>225</v>
      </c>
      <c r="B2" s="28" t="s">
        <v>612</v>
      </c>
      <c r="C2" s="28" t="s">
        <v>613</v>
      </c>
      <c r="D2" s="28" t="s">
        <v>614</v>
      </c>
    </row>
    <row r="3" spans="1:4" x14ac:dyDescent="0.2">
      <c r="A3" t="s">
        <v>604</v>
      </c>
      <c r="B3">
        <v>8.02</v>
      </c>
      <c r="C3">
        <v>0.45</v>
      </c>
      <c r="D3">
        <f>B3*C3</f>
        <v>3.609</v>
      </c>
    </row>
    <row r="4" spans="1:4" x14ac:dyDescent="0.2">
      <c r="A4" s="28" t="s">
        <v>228</v>
      </c>
      <c r="B4" s="28"/>
      <c r="C4" s="28"/>
      <c r="D4" s="28"/>
    </row>
    <row r="5" spans="1:4" x14ac:dyDescent="0.2">
      <c r="A5" t="s">
        <v>610</v>
      </c>
      <c r="B5">
        <v>4.97</v>
      </c>
      <c r="C5">
        <v>0.45</v>
      </c>
      <c r="D5">
        <f t="shared" ref="D5:D7" si="0">B5*C5</f>
        <v>2.2364999999999999</v>
      </c>
    </row>
    <row r="6" spans="1:4" x14ac:dyDescent="0.2">
      <c r="A6" t="s">
        <v>611</v>
      </c>
      <c r="B6">
        <v>0.8</v>
      </c>
      <c r="C6">
        <v>0.45</v>
      </c>
      <c r="D6">
        <f t="shared" si="0"/>
        <v>0.36000000000000004</v>
      </c>
    </row>
    <row r="7" spans="1:4" x14ac:dyDescent="0.2">
      <c r="A7" t="s">
        <v>604</v>
      </c>
      <c r="B7">
        <v>2.16</v>
      </c>
      <c r="C7">
        <v>0.45</v>
      </c>
      <c r="D7">
        <f t="shared" si="0"/>
        <v>0.97200000000000009</v>
      </c>
    </row>
    <row r="8" spans="1:4" x14ac:dyDescent="0.2">
      <c r="A8" s="28" t="s">
        <v>236</v>
      </c>
      <c r="B8" s="28"/>
      <c r="C8" s="28"/>
      <c r="D8" s="28"/>
    </row>
    <row r="9" spans="1:4" x14ac:dyDescent="0.2">
      <c r="A9" t="s">
        <v>604</v>
      </c>
      <c r="B9">
        <v>2.16</v>
      </c>
      <c r="C9">
        <v>0.45</v>
      </c>
      <c r="D9">
        <f t="shared" ref="D9" si="1">B9*C9</f>
        <v>0.97200000000000009</v>
      </c>
    </row>
    <row r="10" spans="1:4" x14ac:dyDescent="0.2">
      <c r="C10" t="s">
        <v>265</v>
      </c>
      <c r="D10" s="28">
        <f>SUM(D3:D9)</f>
        <v>8.1494999999999997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9EFA9-B0C3-402A-9E38-B31F95813912}">
  <sheetPr codeName="Hoja10"/>
  <dimension ref="A2:B4"/>
  <sheetViews>
    <sheetView workbookViewId="0">
      <selection activeCell="D578" sqref="D578"/>
    </sheetView>
  </sheetViews>
  <sheetFormatPr baseColWidth="10" defaultRowHeight="16" x14ac:dyDescent="0.2"/>
  <sheetData>
    <row r="2" spans="1:2" x14ac:dyDescent="0.2">
      <c r="A2" t="s">
        <v>228</v>
      </c>
      <c r="B2">
        <v>1.92</v>
      </c>
    </row>
    <row r="3" spans="1:2" x14ac:dyDescent="0.2">
      <c r="B3">
        <v>2.46</v>
      </c>
    </row>
    <row r="4" spans="1:2" x14ac:dyDescent="0.2">
      <c r="A4" t="s">
        <v>265</v>
      </c>
      <c r="B4" s="7">
        <f>SUM(B2:B3)</f>
        <v>4.38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D44D-1A21-4701-A74C-F57672337EA0}">
  <sheetPr codeName="Hoja11"/>
  <dimension ref="A1:B32"/>
  <sheetViews>
    <sheetView workbookViewId="0">
      <selection activeCell="D578" sqref="D578"/>
    </sheetView>
  </sheetViews>
  <sheetFormatPr baseColWidth="10" defaultRowHeight="16" x14ac:dyDescent="0.2"/>
  <cols>
    <col min="1" max="1" width="25.5" bestFit="1" customWidth="1"/>
  </cols>
  <sheetData>
    <row r="1" spans="1:2" x14ac:dyDescent="0.2">
      <c r="A1" t="str">
        <f>'PRESUPUESTO FINAL'!C207</f>
        <v>PANTALLA CONCRETO MATERA E=15 H=45-55CM</v>
      </c>
    </row>
    <row r="2" spans="1:2" x14ac:dyDescent="0.2">
      <c r="A2" t="s">
        <v>225</v>
      </c>
      <c r="B2" t="s">
        <v>311</v>
      </c>
    </row>
    <row r="3" spans="1:2" x14ac:dyDescent="0.2">
      <c r="A3" t="s">
        <v>602</v>
      </c>
      <c r="B3">
        <v>3.44</v>
      </c>
    </row>
    <row r="4" spans="1:2" x14ac:dyDescent="0.2">
      <c r="A4" t="s">
        <v>602</v>
      </c>
      <c r="B4">
        <v>4.87</v>
      </c>
    </row>
    <row r="5" spans="1:2" x14ac:dyDescent="0.2">
      <c r="A5" t="s">
        <v>602</v>
      </c>
      <c r="B5">
        <v>3.88</v>
      </c>
    </row>
    <row r="6" spans="1:2" x14ac:dyDescent="0.2">
      <c r="A6" t="s">
        <v>602</v>
      </c>
      <c r="B6">
        <v>1.65</v>
      </c>
    </row>
    <row r="7" spans="1:2" x14ac:dyDescent="0.2">
      <c r="A7" t="s">
        <v>602</v>
      </c>
      <c r="B7">
        <v>1.39</v>
      </c>
    </row>
    <row r="8" spans="1:2" x14ac:dyDescent="0.2">
      <c r="A8" t="s">
        <v>602</v>
      </c>
      <c r="B8">
        <v>0.49</v>
      </c>
    </row>
    <row r="9" spans="1:2" x14ac:dyDescent="0.2">
      <c r="A9" s="28" t="s">
        <v>228</v>
      </c>
      <c r="B9" s="28"/>
    </row>
    <row r="10" spans="1:2" x14ac:dyDescent="0.2">
      <c r="A10" t="s">
        <v>603</v>
      </c>
      <c r="B10">
        <v>1.42</v>
      </c>
    </row>
    <row r="11" spans="1:2" x14ac:dyDescent="0.2">
      <c r="A11" t="s">
        <v>603</v>
      </c>
      <c r="B11">
        <v>1.27</v>
      </c>
    </row>
    <row r="12" spans="1:2" x14ac:dyDescent="0.2">
      <c r="A12" t="s">
        <v>603</v>
      </c>
      <c r="B12">
        <v>1.4</v>
      </c>
    </row>
    <row r="13" spans="1:2" x14ac:dyDescent="0.2">
      <c r="A13" t="s">
        <v>603</v>
      </c>
      <c r="B13">
        <v>1.8</v>
      </c>
    </row>
    <row r="14" spans="1:2" x14ac:dyDescent="0.2">
      <c r="A14" t="s">
        <v>603</v>
      </c>
      <c r="B14">
        <v>1.4</v>
      </c>
    </row>
    <row r="15" spans="1:2" x14ac:dyDescent="0.2">
      <c r="A15" t="s">
        <v>603</v>
      </c>
      <c r="B15">
        <v>1.8</v>
      </c>
    </row>
    <row r="16" spans="1:2" x14ac:dyDescent="0.2">
      <c r="A16" t="s">
        <v>603</v>
      </c>
      <c r="B16">
        <v>2.52</v>
      </c>
    </row>
    <row r="17" spans="1:2" x14ac:dyDescent="0.2">
      <c r="A17" t="s">
        <v>603</v>
      </c>
      <c r="B17">
        <v>1.2</v>
      </c>
    </row>
    <row r="18" spans="1:2" x14ac:dyDescent="0.2">
      <c r="A18" t="s">
        <v>603</v>
      </c>
      <c r="B18">
        <v>1</v>
      </c>
    </row>
    <row r="19" spans="1:2" x14ac:dyDescent="0.2">
      <c r="A19" t="s">
        <v>603</v>
      </c>
      <c r="B19">
        <v>1.2</v>
      </c>
    </row>
    <row r="20" spans="1:2" x14ac:dyDescent="0.2">
      <c r="A20" t="s">
        <v>603</v>
      </c>
      <c r="B20">
        <v>1</v>
      </c>
    </row>
    <row r="21" spans="1:2" x14ac:dyDescent="0.2">
      <c r="A21" t="s">
        <v>603</v>
      </c>
      <c r="B21">
        <v>0.98</v>
      </c>
    </row>
    <row r="22" spans="1:2" x14ac:dyDescent="0.2">
      <c r="A22" t="s">
        <v>603</v>
      </c>
      <c r="B22">
        <v>2.76</v>
      </c>
    </row>
    <row r="23" spans="1:2" x14ac:dyDescent="0.2">
      <c r="A23" t="s">
        <v>603</v>
      </c>
      <c r="B23">
        <v>0.5</v>
      </c>
    </row>
    <row r="24" spans="1:2" x14ac:dyDescent="0.2">
      <c r="A24" t="s">
        <v>604</v>
      </c>
      <c r="B24">
        <v>6.35</v>
      </c>
    </row>
    <row r="25" spans="1:2" x14ac:dyDescent="0.2">
      <c r="A25" t="s">
        <v>604</v>
      </c>
      <c r="B25">
        <v>1</v>
      </c>
    </row>
    <row r="26" spans="1:2" x14ac:dyDescent="0.2">
      <c r="A26" t="s">
        <v>604</v>
      </c>
      <c r="B26">
        <v>6.23</v>
      </c>
    </row>
    <row r="27" spans="1:2" x14ac:dyDescent="0.2">
      <c r="A27" s="28" t="s">
        <v>236</v>
      </c>
      <c r="B27" s="28"/>
    </row>
    <row r="28" spans="1:2" x14ac:dyDescent="0.2">
      <c r="A28" t="s">
        <v>604</v>
      </c>
      <c r="B28">
        <v>6.35</v>
      </c>
    </row>
    <row r="29" spans="1:2" x14ac:dyDescent="0.2">
      <c r="A29" t="s">
        <v>604</v>
      </c>
      <c r="B29">
        <v>1</v>
      </c>
    </row>
    <row r="30" spans="1:2" x14ac:dyDescent="0.2">
      <c r="A30" t="s">
        <v>604</v>
      </c>
      <c r="B30">
        <v>6.23</v>
      </c>
    </row>
    <row r="31" spans="1:2" x14ac:dyDescent="0.2">
      <c r="A31" s="28" t="s">
        <v>589</v>
      </c>
      <c r="B31" s="28"/>
    </row>
    <row r="32" spans="1:2" x14ac:dyDescent="0.2">
      <c r="A32" s="26" t="s">
        <v>265</v>
      </c>
      <c r="B32" s="7">
        <f>SUM(B3:B31)</f>
        <v>63.129999999999995</v>
      </c>
    </row>
  </sheetData>
  <phoneticPr fontId="9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A142-C81D-42DE-8A42-4F77E9D42B0B}">
  <sheetPr codeName="Hoja12"/>
  <dimension ref="A1:D70"/>
  <sheetViews>
    <sheetView workbookViewId="0">
      <selection activeCell="D578" sqref="D578"/>
    </sheetView>
  </sheetViews>
  <sheetFormatPr baseColWidth="10" defaultRowHeight="16" x14ac:dyDescent="0.2"/>
  <cols>
    <col min="1" max="1" width="31.33203125" bestFit="1" customWidth="1"/>
    <col min="2" max="2" width="10.83203125" customWidth="1"/>
  </cols>
  <sheetData>
    <row r="1" spans="1:4" x14ac:dyDescent="0.2">
      <c r="A1" s="223" t="s">
        <v>599</v>
      </c>
      <c r="B1" s="223"/>
      <c r="C1" s="223"/>
    </row>
    <row r="2" spans="1:4" x14ac:dyDescent="0.2">
      <c r="A2" t="s">
        <v>225</v>
      </c>
    </row>
    <row r="4" spans="1:4" x14ac:dyDescent="0.2">
      <c r="A4" t="s">
        <v>228</v>
      </c>
    </row>
    <row r="5" spans="1:4" x14ac:dyDescent="0.2">
      <c r="A5" s="3" t="s">
        <v>363</v>
      </c>
      <c r="C5">
        <v>1.65</v>
      </c>
    </row>
    <row r="6" spans="1:4" x14ac:dyDescent="0.2">
      <c r="A6" t="s">
        <v>364</v>
      </c>
    </row>
    <row r="7" spans="1:4" x14ac:dyDescent="0.2">
      <c r="A7" t="s">
        <v>365</v>
      </c>
      <c r="B7">
        <v>2.38</v>
      </c>
      <c r="C7">
        <v>1.65</v>
      </c>
      <c r="D7">
        <f>B7*C7</f>
        <v>3.9269999999999996</v>
      </c>
    </row>
    <row r="8" spans="1:4" x14ac:dyDescent="0.2">
      <c r="A8" t="s">
        <v>366</v>
      </c>
      <c r="B8">
        <v>1.72</v>
      </c>
      <c r="C8">
        <v>1.65</v>
      </c>
      <c r="D8">
        <f t="shared" ref="D8:D34" si="0">B8*C8</f>
        <v>2.8379999999999996</v>
      </c>
    </row>
    <row r="9" spans="1:4" x14ac:dyDescent="0.2">
      <c r="A9" t="s">
        <v>299</v>
      </c>
      <c r="C9">
        <v>1.65</v>
      </c>
      <c r="D9">
        <f t="shared" si="0"/>
        <v>0</v>
      </c>
    </row>
    <row r="10" spans="1:4" x14ac:dyDescent="0.2">
      <c r="A10" s="3" t="s">
        <v>340</v>
      </c>
      <c r="C10">
        <v>1.65</v>
      </c>
      <c r="D10">
        <f t="shared" si="0"/>
        <v>0</v>
      </c>
    </row>
    <row r="11" spans="1:4" x14ac:dyDescent="0.2">
      <c r="A11" s="3" t="s">
        <v>367</v>
      </c>
      <c r="C11">
        <v>1.65</v>
      </c>
      <c r="D11">
        <f t="shared" si="0"/>
        <v>0</v>
      </c>
    </row>
    <row r="12" spans="1:4" x14ac:dyDescent="0.2">
      <c r="A12" t="s">
        <v>374</v>
      </c>
      <c r="B12">
        <v>2.54</v>
      </c>
      <c r="C12">
        <v>1.65</v>
      </c>
      <c r="D12">
        <f t="shared" si="0"/>
        <v>4.1909999999999998</v>
      </c>
    </row>
    <row r="13" spans="1:4" x14ac:dyDescent="0.2">
      <c r="A13" t="s">
        <v>299</v>
      </c>
      <c r="C13">
        <v>1.65</v>
      </c>
      <c r="D13">
        <f t="shared" si="0"/>
        <v>0</v>
      </c>
    </row>
    <row r="14" spans="1:4" x14ac:dyDescent="0.2">
      <c r="A14" s="3" t="s">
        <v>367</v>
      </c>
      <c r="C14">
        <v>1.65</v>
      </c>
      <c r="D14">
        <f t="shared" si="0"/>
        <v>0</v>
      </c>
    </row>
    <row r="15" spans="1:4" x14ac:dyDescent="0.2">
      <c r="A15" t="s">
        <v>369</v>
      </c>
      <c r="B15">
        <v>1.72</v>
      </c>
      <c r="C15">
        <v>1.65</v>
      </c>
      <c r="D15">
        <f t="shared" si="0"/>
        <v>2.8379999999999996</v>
      </c>
    </row>
    <row r="16" spans="1:4" x14ac:dyDescent="0.2">
      <c r="A16" t="s">
        <v>343</v>
      </c>
      <c r="C16">
        <v>1.65</v>
      </c>
      <c r="D16">
        <f t="shared" si="0"/>
        <v>0</v>
      </c>
    </row>
    <row r="17" spans="1:4" x14ac:dyDescent="0.2">
      <c r="A17" t="s">
        <v>344</v>
      </c>
      <c r="C17">
        <v>1.65</v>
      </c>
      <c r="D17">
        <f t="shared" si="0"/>
        <v>0</v>
      </c>
    </row>
    <row r="18" spans="1:4" x14ac:dyDescent="0.2">
      <c r="A18" t="s">
        <v>370</v>
      </c>
    </row>
    <row r="19" spans="1:4" x14ac:dyDescent="0.2">
      <c r="A19" t="s">
        <v>371</v>
      </c>
      <c r="C19">
        <v>1.65</v>
      </c>
      <c r="D19">
        <f t="shared" si="0"/>
        <v>0</v>
      </c>
    </row>
    <row r="20" spans="1:4" x14ac:dyDescent="0.2">
      <c r="A20" s="3" t="s">
        <v>363</v>
      </c>
      <c r="C20">
        <v>1.65</v>
      </c>
      <c r="D20">
        <f t="shared" si="0"/>
        <v>0</v>
      </c>
    </row>
    <row r="21" spans="1:4" x14ac:dyDescent="0.2">
      <c r="A21" t="s">
        <v>372</v>
      </c>
      <c r="B21">
        <v>2.38</v>
      </c>
      <c r="C21">
        <v>1.65</v>
      </c>
      <c r="D21">
        <f t="shared" si="0"/>
        <v>3.9269999999999996</v>
      </c>
    </row>
    <row r="22" spans="1:4" x14ac:dyDescent="0.2">
      <c r="A22" t="s">
        <v>346</v>
      </c>
      <c r="C22">
        <v>1.65</v>
      </c>
      <c r="D22">
        <f t="shared" si="0"/>
        <v>0</v>
      </c>
    </row>
    <row r="23" spans="1:4" x14ac:dyDescent="0.2">
      <c r="A23" t="s">
        <v>373</v>
      </c>
      <c r="C23">
        <v>1.65</v>
      </c>
      <c r="D23">
        <f t="shared" si="0"/>
        <v>0</v>
      </c>
    </row>
    <row r="24" spans="1:4" x14ac:dyDescent="0.2">
      <c r="A24" t="s">
        <v>368</v>
      </c>
      <c r="C24">
        <v>1.65</v>
      </c>
      <c r="D24">
        <f t="shared" si="0"/>
        <v>0</v>
      </c>
    </row>
    <row r="25" spans="1:4" x14ac:dyDescent="0.2">
      <c r="A25" t="s">
        <v>375</v>
      </c>
      <c r="C25">
        <v>1.65</v>
      </c>
      <c r="D25">
        <f t="shared" si="0"/>
        <v>0</v>
      </c>
    </row>
    <row r="26" spans="1:4" x14ac:dyDescent="0.2">
      <c r="A26" s="3" t="s">
        <v>347</v>
      </c>
      <c r="C26">
        <v>1.65</v>
      </c>
      <c r="D26">
        <f t="shared" si="0"/>
        <v>0</v>
      </c>
    </row>
    <row r="27" spans="1:4" x14ac:dyDescent="0.2">
      <c r="A27" t="s">
        <v>351</v>
      </c>
      <c r="C27">
        <v>1.65</v>
      </c>
      <c r="D27">
        <f t="shared" si="0"/>
        <v>0</v>
      </c>
    </row>
    <row r="28" spans="1:4" x14ac:dyDescent="0.2">
      <c r="A28" s="3" t="s">
        <v>348</v>
      </c>
      <c r="C28">
        <v>1.65</v>
      </c>
      <c r="D28">
        <f t="shared" si="0"/>
        <v>0</v>
      </c>
    </row>
    <row r="29" spans="1:4" x14ac:dyDescent="0.2">
      <c r="A29" t="s">
        <v>376</v>
      </c>
      <c r="C29">
        <v>1.65</v>
      </c>
      <c r="D29">
        <f t="shared" si="0"/>
        <v>0</v>
      </c>
    </row>
    <row r="30" spans="1:4" x14ac:dyDescent="0.2">
      <c r="A30" t="s">
        <v>377</v>
      </c>
      <c r="C30">
        <v>1.65</v>
      </c>
      <c r="D30">
        <f t="shared" si="0"/>
        <v>0</v>
      </c>
    </row>
    <row r="31" spans="1:4" x14ac:dyDescent="0.2">
      <c r="A31" t="s">
        <v>368</v>
      </c>
      <c r="C31">
        <v>1.65</v>
      </c>
      <c r="D31">
        <f t="shared" si="0"/>
        <v>0</v>
      </c>
    </row>
    <row r="32" spans="1:4" x14ac:dyDescent="0.2">
      <c r="A32" t="s">
        <v>373</v>
      </c>
      <c r="C32">
        <v>1.65</v>
      </c>
      <c r="D32">
        <f t="shared" si="0"/>
        <v>0</v>
      </c>
    </row>
    <row r="33" spans="1:4" x14ac:dyDescent="0.2">
      <c r="A33" t="s">
        <v>346</v>
      </c>
      <c r="C33">
        <v>1.65</v>
      </c>
      <c r="D33">
        <f t="shared" si="0"/>
        <v>0</v>
      </c>
    </row>
    <row r="34" spans="1:4" x14ac:dyDescent="0.2">
      <c r="A34" t="s">
        <v>346</v>
      </c>
      <c r="C34">
        <v>1.65</v>
      </c>
      <c r="D34">
        <f t="shared" si="0"/>
        <v>0</v>
      </c>
    </row>
    <row r="35" spans="1:4" x14ac:dyDescent="0.2">
      <c r="A35" t="s">
        <v>370</v>
      </c>
    </row>
    <row r="36" spans="1:4" x14ac:dyDescent="0.2">
      <c r="A36" t="s">
        <v>378</v>
      </c>
    </row>
    <row r="37" spans="1:4" x14ac:dyDescent="0.2">
      <c r="A37" t="s">
        <v>379</v>
      </c>
      <c r="C37">
        <v>1.65</v>
      </c>
      <c r="D37">
        <f t="shared" ref="D37:D42" si="1">B37*C37</f>
        <v>0</v>
      </c>
    </row>
    <row r="38" spans="1:4" x14ac:dyDescent="0.2">
      <c r="A38" t="s">
        <v>380</v>
      </c>
      <c r="C38">
        <v>1.65</v>
      </c>
      <c r="D38">
        <f t="shared" si="1"/>
        <v>0</v>
      </c>
    </row>
    <row r="39" spans="1:4" x14ac:dyDescent="0.2">
      <c r="A39" t="s">
        <v>381</v>
      </c>
      <c r="C39">
        <v>1.65</v>
      </c>
      <c r="D39">
        <f t="shared" si="1"/>
        <v>0</v>
      </c>
    </row>
    <row r="40" spans="1:4" x14ac:dyDescent="0.2">
      <c r="A40" t="s">
        <v>381</v>
      </c>
      <c r="C40">
        <v>1.65</v>
      </c>
      <c r="D40">
        <f t="shared" si="1"/>
        <v>0</v>
      </c>
    </row>
    <row r="41" spans="1:4" x14ac:dyDescent="0.2">
      <c r="A41" s="3" t="s">
        <v>363</v>
      </c>
      <c r="C41">
        <v>1.65</v>
      </c>
      <c r="D41">
        <f t="shared" si="1"/>
        <v>0</v>
      </c>
    </row>
    <row r="42" spans="1:4" x14ac:dyDescent="0.2">
      <c r="A42" s="3" t="s">
        <v>363</v>
      </c>
      <c r="C42">
        <v>1.65</v>
      </c>
      <c r="D42">
        <f t="shared" si="1"/>
        <v>0</v>
      </c>
    </row>
    <row r="43" spans="1:4" x14ac:dyDescent="0.2">
      <c r="A43" t="s">
        <v>378</v>
      </c>
    </row>
    <row r="44" spans="1:4" x14ac:dyDescent="0.2">
      <c r="A44" t="s">
        <v>382</v>
      </c>
      <c r="B44">
        <v>1.1499999999999999</v>
      </c>
      <c r="C44">
        <v>1.65</v>
      </c>
      <c r="D44">
        <f t="shared" ref="D44" si="2">B44*C44</f>
        <v>1.8974999999999997</v>
      </c>
    </row>
    <row r="45" spans="1:4" x14ac:dyDescent="0.2">
      <c r="A45" t="s">
        <v>383</v>
      </c>
    </row>
    <row r="47" spans="1:4" x14ac:dyDescent="0.2">
      <c r="A47" t="s">
        <v>236</v>
      </c>
    </row>
    <row r="48" spans="1:4" x14ac:dyDescent="0.2">
      <c r="A48" s="3" t="s">
        <v>363</v>
      </c>
      <c r="C48">
        <v>1.65</v>
      </c>
      <c r="D48">
        <f t="shared" ref="D48:D61" si="3">B48*C48</f>
        <v>0</v>
      </c>
    </row>
    <row r="49" spans="1:4" x14ac:dyDescent="0.2">
      <c r="A49" t="s">
        <v>384</v>
      </c>
      <c r="B49">
        <v>3</v>
      </c>
      <c r="C49">
        <v>1.65</v>
      </c>
      <c r="D49">
        <f t="shared" si="3"/>
        <v>4.9499999999999993</v>
      </c>
    </row>
    <row r="50" spans="1:4" x14ac:dyDescent="0.2">
      <c r="A50" t="s">
        <v>385</v>
      </c>
      <c r="B50">
        <v>2</v>
      </c>
      <c r="C50">
        <v>1.65</v>
      </c>
      <c r="D50">
        <f t="shared" si="3"/>
        <v>3.3</v>
      </c>
    </row>
    <row r="51" spans="1:4" x14ac:dyDescent="0.2">
      <c r="A51" t="s">
        <v>299</v>
      </c>
      <c r="C51">
        <v>1.65</v>
      </c>
      <c r="D51">
        <f t="shared" si="3"/>
        <v>0</v>
      </c>
    </row>
    <row r="52" spans="1:4" x14ac:dyDescent="0.2">
      <c r="A52" s="3" t="s">
        <v>386</v>
      </c>
      <c r="C52">
        <v>1.65</v>
      </c>
      <c r="D52">
        <f t="shared" si="3"/>
        <v>0</v>
      </c>
    </row>
    <row r="53" spans="1:4" x14ac:dyDescent="0.2">
      <c r="A53" t="s">
        <v>351</v>
      </c>
      <c r="C53">
        <v>1.65</v>
      </c>
      <c r="D53">
        <f t="shared" si="3"/>
        <v>0</v>
      </c>
    </row>
    <row r="54" spans="1:4" x14ac:dyDescent="0.2">
      <c r="A54" t="s">
        <v>387</v>
      </c>
      <c r="C54">
        <v>1.65</v>
      </c>
      <c r="D54">
        <f t="shared" si="3"/>
        <v>0</v>
      </c>
    </row>
    <row r="55" spans="1:4" x14ac:dyDescent="0.2">
      <c r="A55" t="s">
        <v>388</v>
      </c>
      <c r="C55">
        <v>1.65</v>
      </c>
      <c r="D55">
        <f t="shared" si="3"/>
        <v>0</v>
      </c>
    </row>
    <row r="56" spans="1:4" x14ac:dyDescent="0.2">
      <c r="A56" s="3" t="s">
        <v>389</v>
      </c>
      <c r="C56">
        <v>1.65</v>
      </c>
      <c r="D56">
        <f t="shared" si="3"/>
        <v>0</v>
      </c>
    </row>
    <row r="57" spans="1:4" x14ac:dyDescent="0.2">
      <c r="A57" t="s">
        <v>390</v>
      </c>
      <c r="B57">
        <v>1.72</v>
      </c>
      <c r="C57">
        <v>1.65</v>
      </c>
      <c r="D57">
        <f t="shared" si="3"/>
        <v>2.8379999999999996</v>
      </c>
    </row>
    <row r="58" spans="1:4" x14ac:dyDescent="0.2">
      <c r="A58" t="s">
        <v>343</v>
      </c>
      <c r="C58">
        <v>1.65</v>
      </c>
      <c r="D58">
        <f t="shared" si="3"/>
        <v>0</v>
      </c>
    </row>
    <row r="59" spans="1:4" x14ac:dyDescent="0.2">
      <c r="A59" t="s">
        <v>344</v>
      </c>
      <c r="C59">
        <v>1.65</v>
      </c>
      <c r="D59">
        <f t="shared" si="3"/>
        <v>0</v>
      </c>
    </row>
    <row r="60" spans="1:4" x14ac:dyDescent="0.2">
      <c r="A60" t="s">
        <v>391</v>
      </c>
      <c r="B60">
        <v>2.74</v>
      </c>
      <c r="C60">
        <v>1.65</v>
      </c>
      <c r="D60">
        <f t="shared" si="3"/>
        <v>4.5209999999999999</v>
      </c>
    </row>
    <row r="61" spans="1:4" x14ac:dyDescent="0.2">
      <c r="A61" s="3" t="s">
        <v>392</v>
      </c>
      <c r="C61">
        <v>1.65</v>
      </c>
      <c r="D61">
        <f t="shared" si="3"/>
        <v>0</v>
      </c>
    </row>
    <row r="62" spans="1:4" x14ac:dyDescent="0.2">
      <c r="A62" t="s">
        <v>370</v>
      </c>
    </row>
    <row r="63" spans="1:4" x14ac:dyDescent="0.2">
      <c r="A63" t="s">
        <v>393</v>
      </c>
      <c r="B63">
        <v>2.38</v>
      </c>
      <c r="C63">
        <v>1.65</v>
      </c>
      <c r="D63">
        <f t="shared" ref="D63" si="4">B63*C63</f>
        <v>3.9269999999999996</v>
      </c>
    </row>
    <row r="64" spans="1:4" x14ac:dyDescent="0.2">
      <c r="A64" t="s">
        <v>364</v>
      </c>
    </row>
    <row r="65" spans="1:4" x14ac:dyDescent="0.2">
      <c r="A65" t="s">
        <v>399</v>
      </c>
      <c r="C65">
        <v>1.65</v>
      </c>
      <c r="D65">
        <f t="shared" ref="D65" si="5">B65*C65</f>
        <v>0</v>
      </c>
    </row>
    <row r="66" spans="1:4" x14ac:dyDescent="0.2">
      <c r="A66" t="s">
        <v>378</v>
      </c>
    </row>
    <row r="67" spans="1:4" x14ac:dyDescent="0.2">
      <c r="A67" t="s">
        <v>394</v>
      </c>
      <c r="B67">
        <v>5.45</v>
      </c>
      <c r="C67">
        <v>1.65</v>
      </c>
      <c r="D67">
        <f t="shared" ref="D67:D68" si="6">B67*C67</f>
        <v>8.9924999999999997</v>
      </c>
    </row>
    <row r="68" spans="1:4" x14ac:dyDescent="0.2">
      <c r="A68" t="s">
        <v>394</v>
      </c>
      <c r="B68">
        <v>4.0599999999999996</v>
      </c>
      <c r="C68">
        <v>1.65</v>
      </c>
      <c r="D68">
        <f t="shared" si="6"/>
        <v>6.698999999999999</v>
      </c>
    </row>
    <row r="69" spans="1:4" x14ac:dyDescent="0.2">
      <c r="A69" t="s">
        <v>394</v>
      </c>
      <c r="B69">
        <v>0.61</v>
      </c>
      <c r="C69">
        <v>1.65</v>
      </c>
      <c r="D69">
        <f t="shared" ref="D69" si="7">B69*C69</f>
        <v>1.0065</v>
      </c>
    </row>
    <row r="70" spans="1:4" x14ac:dyDescent="0.2">
      <c r="A70" t="s">
        <v>395</v>
      </c>
      <c r="C70" t="s">
        <v>265</v>
      </c>
      <c r="D70" s="7">
        <f>SUM(D2:D69)</f>
        <v>55.852499999999999</v>
      </c>
    </row>
  </sheetData>
  <mergeCells count="1">
    <mergeCell ref="A1:C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6DFB2-CBBC-4B72-9B6E-93DE02A013B7}">
  <sheetPr codeName="Hoja13"/>
  <dimension ref="A1:E22"/>
  <sheetViews>
    <sheetView workbookViewId="0">
      <selection activeCell="D578" sqref="D578"/>
    </sheetView>
  </sheetViews>
  <sheetFormatPr baseColWidth="10" defaultRowHeight="16" x14ac:dyDescent="0.2"/>
  <cols>
    <col min="1" max="1" width="18.1640625" bestFit="1" customWidth="1"/>
    <col min="2" max="4" width="11" style="5"/>
  </cols>
  <sheetData>
    <row r="1" spans="1:5" x14ac:dyDescent="0.2">
      <c r="A1" s="223" t="str">
        <f>'PRESUPUESTO FINAL'!C194</f>
        <v>BARANDA PASAM ACERO INOX TUB 1 1/2" OVAL 3 X 1" SEGÚN DISEÑO</v>
      </c>
      <c r="B1" s="223"/>
      <c r="C1" s="223"/>
      <c r="D1" s="223"/>
      <c r="E1" s="223"/>
    </row>
    <row r="2" spans="1:5" x14ac:dyDescent="0.2">
      <c r="A2" t="s">
        <v>596</v>
      </c>
      <c r="B2" s="5" t="s">
        <v>311</v>
      </c>
      <c r="C2" s="5" t="s">
        <v>107</v>
      </c>
      <c r="D2" s="5" t="s">
        <v>309</v>
      </c>
      <c r="E2" s="5" t="s">
        <v>267</v>
      </c>
    </row>
    <row r="3" spans="1:5" x14ac:dyDescent="0.2">
      <c r="B3" s="5">
        <v>2.48</v>
      </c>
      <c r="C3" s="5">
        <v>2</v>
      </c>
      <c r="D3" s="5">
        <v>2</v>
      </c>
      <c r="E3">
        <f>(B3*C3)*D3</f>
        <v>9.92</v>
      </c>
    </row>
    <row r="4" spans="1:5" x14ac:dyDescent="0.2">
      <c r="B4" s="5">
        <v>1.33</v>
      </c>
      <c r="C4" s="5">
        <v>2</v>
      </c>
      <c r="D4" s="5">
        <v>2</v>
      </c>
      <c r="E4">
        <f>(B4*C4)*D4</f>
        <v>5.32</v>
      </c>
    </row>
    <row r="5" spans="1:5" x14ac:dyDescent="0.2">
      <c r="B5" s="5">
        <v>1.35</v>
      </c>
      <c r="C5" s="5">
        <v>1</v>
      </c>
      <c r="D5" s="5">
        <v>2</v>
      </c>
      <c r="E5">
        <f>(B5*C5)*D5</f>
        <v>2.7</v>
      </c>
    </row>
    <row r="6" spans="1:5" x14ac:dyDescent="0.2">
      <c r="B6" s="5">
        <v>1.32</v>
      </c>
      <c r="C6" s="5">
        <v>2</v>
      </c>
      <c r="D6" s="5">
        <v>2</v>
      </c>
      <c r="E6">
        <f>(B6*C6)*D6</f>
        <v>5.28</v>
      </c>
    </row>
    <row r="7" spans="1:5" x14ac:dyDescent="0.2">
      <c r="B7" s="5">
        <v>4.12</v>
      </c>
      <c r="C7" s="5">
        <v>2</v>
      </c>
      <c r="D7" s="5">
        <v>2</v>
      </c>
      <c r="E7">
        <f>(B7*C7)*D7</f>
        <v>16.48</v>
      </c>
    </row>
    <row r="8" spans="1:5" x14ac:dyDescent="0.2">
      <c r="B8" s="5">
        <v>0.81</v>
      </c>
      <c r="C8" s="5">
        <v>1</v>
      </c>
      <c r="D8" s="5">
        <v>2</v>
      </c>
      <c r="E8">
        <f t="shared" ref="E8:E9" si="0">(B8*C8)*D8</f>
        <v>1.62</v>
      </c>
    </row>
    <row r="9" spans="1:5" x14ac:dyDescent="0.2">
      <c r="B9" s="5">
        <v>1.38</v>
      </c>
      <c r="C9" s="5">
        <v>1</v>
      </c>
      <c r="D9" s="5">
        <v>2</v>
      </c>
      <c r="E9">
        <f t="shared" si="0"/>
        <v>2.76</v>
      </c>
    </row>
    <row r="10" spans="1:5" x14ac:dyDescent="0.2">
      <c r="A10" t="s">
        <v>597</v>
      </c>
    </row>
    <row r="11" spans="1:5" x14ac:dyDescent="0.2">
      <c r="B11" s="5">
        <v>3.05</v>
      </c>
      <c r="C11" s="5">
        <v>1</v>
      </c>
      <c r="D11" s="5">
        <v>2</v>
      </c>
      <c r="E11">
        <f t="shared" ref="E11:E19" si="1">(B11*C11)*D11</f>
        <v>6.1</v>
      </c>
    </row>
    <row r="12" spans="1:5" x14ac:dyDescent="0.2">
      <c r="B12" s="5">
        <v>2.06</v>
      </c>
      <c r="C12" s="5">
        <v>1</v>
      </c>
      <c r="D12" s="5">
        <v>2</v>
      </c>
      <c r="E12">
        <f t="shared" si="1"/>
        <v>4.12</v>
      </c>
    </row>
    <row r="13" spans="1:5" x14ac:dyDescent="0.2">
      <c r="B13" s="5">
        <v>1.41</v>
      </c>
      <c r="C13" s="5">
        <v>2</v>
      </c>
      <c r="D13" s="5">
        <v>2</v>
      </c>
      <c r="E13">
        <f t="shared" si="1"/>
        <v>5.64</v>
      </c>
    </row>
    <row r="14" spans="1:5" x14ac:dyDescent="0.2">
      <c r="B14" s="5">
        <v>0.4</v>
      </c>
      <c r="C14" s="5">
        <v>1</v>
      </c>
      <c r="D14" s="5">
        <v>1</v>
      </c>
      <c r="E14">
        <f t="shared" si="1"/>
        <v>0.4</v>
      </c>
    </row>
    <row r="15" spans="1:5" x14ac:dyDescent="0.2">
      <c r="B15" s="5">
        <v>4.5599999999999996</v>
      </c>
      <c r="C15" s="5">
        <v>1</v>
      </c>
      <c r="D15" s="5">
        <v>1</v>
      </c>
      <c r="E15">
        <f t="shared" si="1"/>
        <v>4.5599999999999996</v>
      </c>
    </row>
    <row r="16" spans="1:5" x14ac:dyDescent="0.2">
      <c r="B16" s="5">
        <v>1.34</v>
      </c>
      <c r="C16" s="5">
        <v>1</v>
      </c>
      <c r="D16" s="5">
        <v>1</v>
      </c>
      <c r="E16">
        <f t="shared" si="1"/>
        <v>1.34</v>
      </c>
    </row>
    <row r="17" spans="1:5" x14ac:dyDescent="0.2">
      <c r="B17" s="5">
        <v>3.05</v>
      </c>
      <c r="C17" s="5">
        <v>1</v>
      </c>
      <c r="D17" s="5">
        <v>1</v>
      </c>
      <c r="E17">
        <f t="shared" si="1"/>
        <v>3.05</v>
      </c>
    </row>
    <row r="18" spans="1:5" x14ac:dyDescent="0.2">
      <c r="B18" s="5">
        <v>3.52</v>
      </c>
      <c r="C18" s="5">
        <v>1</v>
      </c>
      <c r="D18" s="5">
        <v>1</v>
      </c>
      <c r="E18">
        <f t="shared" si="1"/>
        <v>3.52</v>
      </c>
    </row>
    <row r="19" spans="1:5" x14ac:dyDescent="0.2">
      <c r="B19" s="5">
        <v>3.14</v>
      </c>
      <c r="C19" s="5">
        <v>1</v>
      </c>
      <c r="D19" s="5">
        <v>1</v>
      </c>
      <c r="E19">
        <f t="shared" si="1"/>
        <v>3.14</v>
      </c>
    </row>
    <row r="20" spans="1:5" x14ac:dyDescent="0.2">
      <c r="A20" t="s">
        <v>598</v>
      </c>
    </row>
    <row r="21" spans="1:5" x14ac:dyDescent="0.2">
      <c r="B21" s="5">
        <f>4.67+1.15</f>
        <v>5.82</v>
      </c>
      <c r="C21" s="5">
        <v>1</v>
      </c>
      <c r="D21" s="5">
        <v>2</v>
      </c>
      <c r="E21">
        <f>(B21*C21)*D21</f>
        <v>11.64</v>
      </c>
    </row>
    <row r="22" spans="1:5" x14ac:dyDescent="0.2">
      <c r="D22" s="5" t="s">
        <v>265</v>
      </c>
      <c r="E22" s="7">
        <f>SUM(E3:E21)</f>
        <v>87.589999999999989</v>
      </c>
    </row>
  </sheetData>
  <mergeCells count="1">
    <mergeCell ref="A1:E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D0C04-9FA0-4466-9511-4B8A697F512F}">
  <sheetPr codeName="Hoja14"/>
  <dimension ref="A1:C28"/>
  <sheetViews>
    <sheetView workbookViewId="0">
      <selection activeCell="D578" sqref="D578"/>
    </sheetView>
  </sheetViews>
  <sheetFormatPr baseColWidth="10" defaultRowHeight="16" x14ac:dyDescent="0.2"/>
  <cols>
    <col min="1" max="1" width="39.6640625" bestFit="1" customWidth="1"/>
    <col min="2" max="3" width="11" style="5"/>
  </cols>
  <sheetData>
    <row r="1" spans="1:3" x14ac:dyDescent="0.2">
      <c r="A1" s="28" t="str">
        <f>'PRESUPUESTO FINAL'!C196</f>
        <v>MESON QUARTZTONE+FALDON+SALPIC 12MM</v>
      </c>
      <c r="B1" s="29" t="s">
        <v>311</v>
      </c>
      <c r="C1" s="29"/>
    </row>
    <row r="2" spans="1:3" x14ac:dyDescent="0.2">
      <c r="A2" s="25" t="s">
        <v>228</v>
      </c>
      <c r="B2" s="27"/>
      <c r="C2" s="27"/>
    </row>
    <row r="3" spans="1:3" x14ac:dyDescent="0.2">
      <c r="A3" t="s">
        <v>343</v>
      </c>
      <c r="B3" s="5">
        <v>1.8</v>
      </c>
    </row>
    <row r="4" spans="1:3" x14ac:dyDescent="0.2">
      <c r="A4" t="s">
        <v>344</v>
      </c>
      <c r="B4" s="5">
        <v>1.8</v>
      </c>
    </row>
    <row r="5" spans="1:3" x14ac:dyDescent="0.2">
      <c r="A5" t="s">
        <v>375</v>
      </c>
      <c r="B5" s="5">
        <v>1.38</v>
      </c>
    </row>
    <row r="6" spans="1:3" x14ac:dyDescent="0.2">
      <c r="A6" t="s">
        <v>376</v>
      </c>
      <c r="B6" s="5">
        <v>1.43</v>
      </c>
    </row>
    <row r="7" spans="1:3" x14ac:dyDescent="0.2">
      <c r="A7" t="s">
        <v>351</v>
      </c>
      <c r="B7" s="5">
        <v>1.52</v>
      </c>
    </row>
    <row r="8" spans="1:3" x14ac:dyDescent="0.2">
      <c r="A8" s="25" t="s">
        <v>236</v>
      </c>
      <c r="B8" s="27"/>
      <c r="C8" s="27"/>
    </row>
    <row r="9" spans="1:3" x14ac:dyDescent="0.2">
      <c r="A9" t="s">
        <v>594</v>
      </c>
      <c r="B9" s="5">
        <f>1.32+1.55</f>
        <v>2.87</v>
      </c>
    </row>
    <row r="10" spans="1:3" x14ac:dyDescent="0.2">
      <c r="A10" t="s">
        <v>351</v>
      </c>
      <c r="B10" s="5">
        <v>1.2</v>
      </c>
    </row>
    <row r="11" spans="1:3" x14ac:dyDescent="0.2">
      <c r="A11" t="s">
        <v>343</v>
      </c>
      <c r="B11" s="5">
        <v>1.8</v>
      </c>
    </row>
    <row r="12" spans="1:3" x14ac:dyDescent="0.2">
      <c r="A12" t="s">
        <v>344</v>
      </c>
      <c r="B12" s="5">
        <v>1.8</v>
      </c>
    </row>
    <row r="13" spans="1:3" x14ac:dyDescent="0.2">
      <c r="A13" s="26" t="s">
        <v>267</v>
      </c>
      <c r="B13" s="8">
        <f>SUM(B3:B12)</f>
        <v>15.600000000000001</v>
      </c>
    </row>
    <row r="16" spans="1:3" x14ac:dyDescent="0.2">
      <c r="A16" s="28" t="str">
        <f>'PRESUPUESTO FINAL'!C197</f>
        <v>QUARZTONE CARTERA FALDON=12-15CM</v>
      </c>
      <c r="B16" s="29" t="s">
        <v>311</v>
      </c>
      <c r="C16" s="29"/>
    </row>
    <row r="17" spans="1:3" x14ac:dyDescent="0.2">
      <c r="A17" s="25" t="s">
        <v>228</v>
      </c>
      <c r="B17" s="27"/>
      <c r="C17" s="27"/>
    </row>
    <row r="18" spans="1:3" x14ac:dyDescent="0.2">
      <c r="A18" t="s">
        <v>343</v>
      </c>
      <c r="B18" s="5">
        <v>1.8</v>
      </c>
    </row>
    <row r="19" spans="1:3" x14ac:dyDescent="0.2">
      <c r="A19" t="s">
        <v>344</v>
      </c>
      <c r="B19" s="5">
        <v>1.8</v>
      </c>
    </row>
    <row r="20" spans="1:3" x14ac:dyDescent="0.2">
      <c r="A20" t="s">
        <v>375</v>
      </c>
      <c r="B20" s="5">
        <v>1.38</v>
      </c>
    </row>
    <row r="21" spans="1:3" x14ac:dyDescent="0.2">
      <c r="A21" t="s">
        <v>376</v>
      </c>
      <c r="B21" s="5">
        <v>1.43</v>
      </c>
    </row>
    <row r="22" spans="1:3" x14ac:dyDescent="0.2">
      <c r="A22" t="s">
        <v>351</v>
      </c>
      <c r="B22" s="5">
        <v>1.52</v>
      </c>
    </row>
    <row r="23" spans="1:3" x14ac:dyDescent="0.2">
      <c r="A23" s="25" t="s">
        <v>236</v>
      </c>
      <c r="B23" s="27"/>
      <c r="C23" s="27"/>
    </row>
    <row r="24" spans="1:3" x14ac:dyDescent="0.2">
      <c r="A24" t="s">
        <v>594</v>
      </c>
      <c r="B24" s="5">
        <f>1.32+1.55</f>
        <v>2.87</v>
      </c>
    </row>
    <row r="25" spans="1:3" x14ac:dyDescent="0.2">
      <c r="A25" t="s">
        <v>351</v>
      </c>
      <c r="B25" s="5">
        <v>1.2</v>
      </c>
    </row>
    <row r="26" spans="1:3" x14ac:dyDescent="0.2">
      <c r="A26" t="s">
        <v>343</v>
      </c>
      <c r="B26" s="5">
        <v>1.8</v>
      </c>
    </row>
    <row r="27" spans="1:3" x14ac:dyDescent="0.2">
      <c r="A27" t="s">
        <v>344</v>
      </c>
      <c r="B27" s="5">
        <v>1.8</v>
      </c>
    </row>
    <row r="28" spans="1:3" x14ac:dyDescent="0.2">
      <c r="A28" s="26" t="s">
        <v>267</v>
      </c>
      <c r="B28" s="8">
        <f>SUM(B18:B27)</f>
        <v>15.600000000000001</v>
      </c>
    </row>
  </sheetData>
  <phoneticPr fontId="9" type="noConversion"/>
  <pageMargins left="0.7" right="0.7" top="0.75" bottom="0.75" header="0.3" footer="0.3"/>
  <pageSetup orientation="portrait" horizontalDpi="360" verticalDpi="36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4E1F8-C921-4E24-B0A4-FC62EB4AC202}">
  <sheetPr codeName="Hoja15"/>
  <dimension ref="A1:C28"/>
  <sheetViews>
    <sheetView workbookViewId="0">
      <selection activeCell="D578" sqref="D578"/>
    </sheetView>
  </sheetViews>
  <sheetFormatPr baseColWidth="10" defaultRowHeight="16" x14ac:dyDescent="0.2"/>
  <cols>
    <col min="1" max="1" width="39.6640625" bestFit="1" customWidth="1"/>
    <col min="2" max="3" width="11" style="5"/>
  </cols>
  <sheetData>
    <row r="1" spans="1:3" x14ac:dyDescent="0.2">
      <c r="A1" s="28" t="str">
        <f>'PRESUPUESTO FINAL'!C196</f>
        <v>MESON QUARTZTONE+FALDON+SALPIC 12MM</v>
      </c>
      <c r="B1" s="29" t="s">
        <v>311</v>
      </c>
      <c r="C1" s="29"/>
    </row>
    <row r="2" spans="1:3" x14ac:dyDescent="0.2">
      <c r="A2" s="25" t="s">
        <v>228</v>
      </c>
      <c r="B2" s="27"/>
      <c r="C2" s="27"/>
    </row>
    <row r="3" spans="1:3" x14ac:dyDescent="0.2">
      <c r="A3" t="s">
        <v>343</v>
      </c>
      <c r="B3" s="5">
        <v>1.8</v>
      </c>
    </row>
    <row r="4" spans="1:3" x14ac:dyDescent="0.2">
      <c r="A4" t="s">
        <v>344</v>
      </c>
      <c r="B4" s="5">
        <v>1.8</v>
      </c>
    </row>
    <row r="5" spans="1:3" x14ac:dyDescent="0.2">
      <c r="A5" t="s">
        <v>375</v>
      </c>
      <c r="B5" s="5">
        <v>1.38</v>
      </c>
    </row>
    <row r="6" spans="1:3" x14ac:dyDescent="0.2">
      <c r="A6" t="s">
        <v>376</v>
      </c>
      <c r="B6" s="5">
        <v>1.43</v>
      </c>
    </row>
    <row r="7" spans="1:3" x14ac:dyDescent="0.2">
      <c r="A7" t="s">
        <v>351</v>
      </c>
      <c r="B7" s="5">
        <v>1.52</v>
      </c>
    </row>
    <row r="8" spans="1:3" x14ac:dyDescent="0.2">
      <c r="A8" s="25" t="s">
        <v>236</v>
      </c>
      <c r="B8" s="27"/>
      <c r="C8" s="27"/>
    </row>
    <row r="9" spans="1:3" x14ac:dyDescent="0.2">
      <c r="A9" t="s">
        <v>594</v>
      </c>
      <c r="B9" s="5">
        <f>1.32+1.55</f>
        <v>2.87</v>
      </c>
    </row>
    <row r="10" spans="1:3" x14ac:dyDescent="0.2">
      <c r="A10" t="s">
        <v>351</v>
      </c>
      <c r="B10" s="5">
        <v>1.2</v>
      </c>
    </row>
    <row r="11" spans="1:3" x14ac:dyDescent="0.2">
      <c r="A11" t="s">
        <v>343</v>
      </c>
      <c r="B11" s="5">
        <v>1.8</v>
      </c>
    </row>
    <row r="12" spans="1:3" x14ac:dyDescent="0.2">
      <c r="A12" t="s">
        <v>344</v>
      </c>
      <c r="B12" s="5">
        <v>1.8</v>
      </c>
    </row>
    <row r="13" spans="1:3" x14ac:dyDescent="0.2">
      <c r="A13" s="26" t="s">
        <v>267</v>
      </c>
      <c r="B13" s="8">
        <f>SUM(B3:B12)</f>
        <v>15.600000000000001</v>
      </c>
    </row>
    <row r="16" spans="1:3" x14ac:dyDescent="0.2">
      <c r="A16" s="28" t="str">
        <f>'PRESUPUESTO FINAL'!C197</f>
        <v>QUARZTONE CARTERA FALDON=12-15CM</v>
      </c>
      <c r="B16" s="29" t="s">
        <v>311</v>
      </c>
      <c r="C16" s="29"/>
    </row>
    <row r="17" spans="1:3" x14ac:dyDescent="0.2">
      <c r="A17" s="25" t="s">
        <v>228</v>
      </c>
      <c r="B17" s="27"/>
      <c r="C17" s="27"/>
    </row>
    <row r="18" spans="1:3" x14ac:dyDescent="0.2">
      <c r="A18" t="s">
        <v>343</v>
      </c>
      <c r="B18" s="5">
        <v>1.8</v>
      </c>
    </row>
    <row r="19" spans="1:3" x14ac:dyDescent="0.2">
      <c r="A19" t="s">
        <v>344</v>
      </c>
      <c r="B19" s="5">
        <v>1.8</v>
      </c>
    </row>
    <row r="20" spans="1:3" x14ac:dyDescent="0.2">
      <c r="A20" t="s">
        <v>375</v>
      </c>
      <c r="B20" s="5">
        <v>1.38</v>
      </c>
    </row>
    <row r="21" spans="1:3" x14ac:dyDescent="0.2">
      <c r="A21" t="s">
        <v>376</v>
      </c>
      <c r="B21" s="5">
        <v>1.43</v>
      </c>
    </row>
    <row r="22" spans="1:3" x14ac:dyDescent="0.2">
      <c r="A22" t="s">
        <v>351</v>
      </c>
      <c r="B22" s="5">
        <v>1.52</v>
      </c>
    </row>
    <row r="23" spans="1:3" x14ac:dyDescent="0.2">
      <c r="A23" s="25" t="s">
        <v>236</v>
      </c>
      <c r="B23" s="27"/>
      <c r="C23" s="27"/>
    </row>
    <row r="24" spans="1:3" x14ac:dyDescent="0.2">
      <c r="A24" t="s">
        <v>594</v>
      </c>
      <c r="B24" s="5">
        <f>1.32+1.55</f>
        <v>2.87</v>
      </c>
    </row>
    <row r="25" spans="1:3" x14ac:dyDescent="0.2">
      <c r="A25" t="s">
        <v>351</v>
      </c>
      <c r="B25" s="5">
        <v>1.2</v>
      </c>
    </row>
    <row r="26" spans="1:3" x14ac:dyDescent="0.2">
      <c r="A26" t="s">
        <v>343</v>
      </c>
      <c r="B26" s="5">
        <v>1.8</v>
      </c>
    </row>
    <row r="27" spans="1:3" x14ac:dyDescent="0.2">
      <c r="A27" t="s">
        <v>344</v>
      </c>
      <c r="B27" s="5">
        <v>1.8</v>
      </c>
    </row>
    <row r="28" spans="1:3" x14ac:dyDescent="0.2">
      <c r="A28" s="26" t="s">
        <v>267</v>
      </c>
      <c r="B28" s="8">
        <f>SUM(B18:B27)</f>
        <v>15.600000000000001</v>
      </c>
    </row>
  </sheetData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49AE-7FFB-46A8-848E-A655B9BBF291}">
  <dimension ref="A1:B7"/>
  <sheetViews>
    <sheetView workbookViewId="0">
      <selection activeCell="B8" sqref="B8"/>
    </sheetView>
  </sheetViews>
  <sheetFormatPr baseColWidth="10" defaultRowHeight="16" x14ac:dyDescent="0.2"/>
  <cols>
    <col min="1" max="1" width="16.1640625" bestFit="1" customWidth="1"/>
  </cols>
  <sheetData>
    <row r="1" spans="1:2" x14ac:dyDescent="0.2">
      <c r="A1" t="s">
        <v>225</v>
      </c>
    </row>
    <row r="2" spans="1:2" x14ac:dyDescent="0.2">
      <c r="A2" t="s">
        <v>808</v>
      </c>
      <c r="B2">
        <f>3.01*2+12.6</f>
        <v>18.619999999999997</v>
      </c>
    </row>
    <row r="3" spans="1:2" x14ac:dyDescent="0.2">
      <c r="A3" t="s">
        <v>228</v>
      </c>
    </row>
    <row r="4" spans="1:2" x14ac:dyDescent="0.2">
      <c r="A4" t="s">
        <v>239</v>
      </c>
      <c r="B4">
        <f>12.48*2+12.6</f>
        <v>37.56</v>
      </c>
    </row>
    <row r="5" spans="1:2" x14ac:dyDescent="0.2">
      <c r="A5" t="s">
        <v>236</v>
      </c>
      <c r="B5">
        <v>87.28</v>
      </c>
    </row>
    <row r="6" spans="1:2" x14ac:dyDescent="0.2">
      <c r="A6" t="s">
        <v>239</v>
      </c>
      <c r="B6">
        <v>11.2</v>
      </c>
    </row>
    <row r="7" spans="1:2" x14ac:dyDescent="0.2">
      <c r="B7">
        <f>SUM(B2:B6)</f>
        <v>154.66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06BFB-D6E0-4C83-AF70-560CDDF0D88E}">
  <sheetPr codeName="Hoja16"/>
  <dimension ref="A1:D22"/>
  <sheetViews>
    <sheetView workbookViewId="0">
      <selection activeCell="D578" sqref="D578"/>
    </sheetView>
  </sheetViews>
  <sheetFormatPr baseColWidth="10" defaultRowHeight="16" x14ac:dyDescent="0.2"/>
  <cols>
    <col min="1" max="1" width="30.33203125" bestFit="1" customWidth="1"/>
    <col min="2" max="2" width="8.33203125" bestFit="1" customWidth="1"/>
  </cols>
  <sheetData>
    <row r="1" spans="1:4" x14ac:dyDescent="0.2">
      <c r="A1" s="225" t="s">
        <v>593</v>
      </c>
      <c r="B1" s="225"/>
      <c r="C1" s="225"/>
      <c r="D1" s="225"/>
    </row>
    <row r="2" spans="1:4" x14ac:dyDescent="0.2">
      <c r="A2" s="25" t="s">
        <v>225</v>
      </c>
      <c r="B2" s="25" t="s">
        <v>311</v>
      </c>
      <c r="C2" s="25" t="s">
        <v>443</v>
      </c>
      <c r="D2" s="25" t="s">
        <v>267</v>
      </c>
    </row>
    <row r="3" spans="1:4" x14ac:dyDescent="0.2">
      <c r="A3" t="s">
        <v>564</v>
      </c>
      <c r="B3">
        <v>0.8</v>
      </c>
      <c r="D3">
        <f>B3</f>
        <v>0.8</v>
      </c>
    </row>
    <row r="4" spans="1:4" x14ac:dyDescent="0.2">
      <c r="A4" s="25" t="s">
        <v>228</v>
      </c>
      <c r="B4" s="25"/>
      <c r="C4" s="25"/>
      <c r="D4" s="25"/>
    </row>
    <row r="5" spans="1:4" x14ac:dyDescent="0.2">
      <c r="A5" t="s">
        <v>565</v>
      </c>
      <c r="B5">
        <v>0.8</v>
      </c>
      <c r="D5">
        <f t="shared" ref="D5:D14" si="0">B5</f>
        <v>0.8</v>
      </c>
    </row>
    <row r="6" spans="1:4" x14ac:dyDescent="0.2">
      <c r="A6" t="s">
        <v>569</v>
      </c>
      <c r="B6">
        <v>0.8</v>
      </c>
      <c r="D6">
        <f t="shared" si="0"/>
        <v>0.8</v>
      </c>
    </row>
    <row r="7" spans="1:4" x14ac:dyDescent="0.2">
      <c r="A7" t="s">
        <v>364</v>
      </c>
      <c r="B7">
        <v>0.8</v>
      </c>
      <c r="D7">
        <f t="shared" si="0"/>
        <v>0.8</v>
      </c>
    </row>
    <row r="8" spans="1:4" x14ac:dyDescent="0.2">
      <c r="A8" t="s">
        <v>343</v>
      </c>
      <c r="B8">
        <f>1.8+0.9</f>
        <v>2.7</v>
      </c>
      <c r="D8">
        <f t="shared" si="0"/>
        <v>2.7</v>
      </c>
    </row>
    <row r="9" spans="1:4" x14ac:dyDescent="0.2">
      <c r="A9" t="s">
        <v>570</v>
      </c>
      <c r="B9">
        <f>1.8+0.9</f>
        <v>2.7</v>
      </c>
      <c r="D9">
        <f t="shared" si="0"/>
        <v>2.7</v>
      </c>
    </row>
    <row r="10" spans="1:4" x14ac:dyDescent="0.2">
      <c r="A10" t="s">
        <v>571</v>
      </c>
      <c r="B10">
        <v>0.8</v>
      </c>
      <c r="D10">
        <f t="shared" si="0"/>
        <v>0.8</v>
      </c>
    </row>
    <row r="11" spans="1:4" x14ac:dyDescent="0.2">
      <c r="A11" t="s">
        <v>346</v>
      </c>
      <c r="B11">
        <v>0.8</v>
      </c>
      <c r="D11">
        <f t="shared" si="0"/>
        <v>0.8</v>
      </c>
    </row>
    <row r="12" spans="1:4" x14ac:dyDescent="0.2">
      <c r="A12" t="s">
        <v>572</v>
      </c>
      <c r="B12">
        <v>0.8</v>
      </c>
      <c r="D12">
        <f t="shared" si="0"/>
        <v>0.8</v>
      </c>
    </row>
    <row r="13" spans="1:4" x14ac:dyDescent="0.2">
      <c r="A13" t="s">
        <v>376</v>
      </c>
      <c r="B13">
        <v>0.8</v>
      </c>
      <c r="D13">
        <f t="shared" si="0"/>
        <v>0.8</v>
      </c>
    </row>
    <row r="14" spans="1:4" x14ac:dyDescent="0.2">
      <c r="A14" t="s">
        <v>381</v>
      </c>
      <c r="B14">
        <v>1.6</v>
      </c>
      <c r="D14">
        <f t="shared" si="0"/>
        <v>1.6</v>
      </c>
    </row>
    <row r="15" spans="1:4" x14ac:dyDescent="0.2">
      <c r="A15" s="25" t="s">
        <v>236</v>
      </c>
      <c r="B15" s="25"/>
      <c r="C15" s="25"/>
      <c r="D15" s="25"/>
    </row>
    <row r="16" spans="1:4" x14ac:dyDescent="0.2">
      <c r="A16" t="s">
        <v>573</v>
      </c>
      <c r="B16">
        <v>0.8</v>
      </c>
      <c r="D16">
        <f t="shared" ref="D16:D21" si="1">B16</f>
        <v>0.8</v>
      </c>
    </row>
    <row r="17" spans="1:4" x14ac:dyDescent="0.2">
      <c r="A17" t="s">
        <v>574</v>
      </c>
      <c r="B17">
        <v>0.8</v>
      </c>
      <c r="D17">
        <f t="shared" si="1"/>
        <v>0.8</v>
      </c>
    </row>
    <row r="18" spans="1:4" x14ac:dyDescent="0.2">
      <c r="A18" t="s">
        <v>575</v>
      </c>
      <c r="B18">
        <v>0.8</v>
      </c>
      <c r="D18">
        <f t="shared" si="1"/>
        <v>0.8</v>
      </c>
    </row>
    <row r="19" spans="1:4" x14ac:dyDescent="0.2">
      <c r="A19" t="s">
        <v>343</v>
      </c>
      <c r="B19">
        <f>1.8+0.9</f>
        <v>2.7</v>
      </c>
      <c r="D19">
        <f t="shared" si="1"/>
        <v>2.7</v>
      </c>
    </row>
    <row r="20" spans="1:4" x14ac:dyDescent="0.2">
      <c r="A20" t="s">
        <v>570</v>
      </c>
      <c r="B20">
        <f>1.8+0.9</f>
        <v>2.7</v>
      </c>
      <c r="D20">
        <f t="shared" si="1"/>
        <v>2.7</v>
      </c>
    </row>
    <row r="21" spans="1:4" x14ac:dyDescent="0.2">
      <c r="A21" t="s">
        <v>392</v>
      </c>
      <c r="B21">
        <v>0.8</v>
      </c>
      <c r="D21">
        <f t="shared" si="1"/>
        <v>0.8</v>
      </c>
    </row>
    <row r="22" spans="1:4" x14ac:dyDescent="0.2">
      <c r="A22" s="26" t="s">
        <v>265</v>
      </c>
      <c r="B22" s="7"/>
      <c r="C22" s="7"/>
      <c r="D22" s="7">
        <f>SUM(D3:D21)</f>
        <v>22.000000000000007</v>
      </c>
    </row>
  </sheetData>
  <mergeCells count="1">
    <mergeCell ref="A1:D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BDD4E-B392-42AB-B6F3-ADE6EF57D877}">
  <sheetPr codeName="Hoja17"/>
  <dimension ref="A1:D22"/>
  <sheetViews>
    <sheetView workbookViewId="0">
      <selection activeCell="D578" sqref="D578"/>
    </sheetView>
  </sheetViews>
  <sheetFormatPr baseColWidth="10" defaultRowHeight="16" x14ac:dyDescent="0.2"/>
  <cols>
    <col min="1" max="1" width="30.33203125" bestFit="1" customWidth="1"/>
    <col min="2" max="2" width="8.33203125" bestFit="1" customWidth="1"/>
  </cols>
  <sheetData>
    <row r="1" spans="1:4" x14ac:dyDescent="0.2">
      <c r="A1" s="225" t="s">
        <v>593</v>
      </c>
      <c r="B1" s="225"/>
      <c r="C1" s="225"/>
      <c r="D1" s="225"/>
    </row>
    <row r="2" spans="1:4" x14ac:dyDescent="0.2">
      <c r="A2" s="25" t="s">
        <v>225</v>
      </c>
      <c r="B2" s="25" t="s">
        <v>311</v>
      </c>
      <c r="C2" s="25" t="s">
        <v>443</v>
      </c>
      <c r="D2" s="25" t="s">
        <v>267</v>
      </c>
    </row>
    <row r="3" spans="1:4" x14ac:dyDescent="0.2">
      <c r="A3" t="s">
        <v>564</v>
      </c>
      <c r="B3">
        <v>0.8</v>
      </c>
      <c r="C3">
        <v>0.8</v>
      </c>
      <c r="D3">
        <f>B3*C3</f>
        <v>0.64000000000000012</v>
      </c>
    </row>
    <row r="4" spans="1:4" x14ac:dyDescent="0.2">
      <c r="A4" s="25" t="s">
        <v>228</v>
      </c>
      <c r="B4" s="25"/>
      <c r="C4" s="25"/>
      <c r="D4" s="25"/>
    </row>
    <row r="5" spans="1:4" x14ac:dyDescent="0.2">
      <c r="A5" t="s">
        <v>565</v>
      </c>
      <c r="B5">
        <v>0.8</v>
      </c>
      <c r="C5">
        <v>0.8</v>
      </c>
      <c r="D5">
        <f t="shared" ref="D5:D14" si="0">B5*C5</f>
        <v>0.64000000000000012</v>
      </c>
    </row>
    <row r="6" spans="1:4" x14ac:dyDescent="0.2">
      <c r="A6" t="s">
        <v>569</v>
      </c>
      <c r="B6">
        <v>0.8</v>
      </c>
      <c r="C6">
        <v>0.8</v>
      </c>
      <c r="D6">
        <f t="shared" si="0"/>
        <v>0.64000000000000012</v>
      </c>
    </row>
    <row r="7" spans="1:4" x14ac:dyDescent="0.2">
      <c r="A7" t="s">
        <v>364</v>
      </c>
      <c r="B7">
        <v>0.8</v>
      </c>
      <c r="C7">
        <v>0.8</v>
      </c>
      <c r="D7">
        <f t="shared" si="0"/>
        <v>0.64000000000000012</v>
      </c>
    </row>
    <row r="8" spans="1:4" x14ac:dyDescent="0.2">
      <c r="A8" t="s">
        <v>343</v>
      </c>
      <c r="B8">
        <f>1.8+0.9</f>
        <v>2.7</v>
      </c>
      <c r="C8">
        <v>0.8</v>
      </c>
      <c r="D8">
        <f t="shared" si="0"/>
        <v>2.16</v>
      </c>
    </row>
    <row r="9" spans="1:4" x14ac:dyDescent="0.2">
      <c r="A9" t="s">
        <v>570</v>
      </c>
      <c r="B9">
        <f>1.8+0.9</f>
        <v>2.7</v>
      </c>
      <c r="C9">
        <v>0.8</v>
      </c>
      <c r="D9">
        <f t="shared" si="0"/>
        <v>2.16</v>
      </c>
    </row>
    <row r="10" spans="1:4" x14ac:dyDescent="0.2">
      <c r="A10" t="s">
        <v>571</v>
      </c>
      <c r="B10">
        <v>0.8</v>
      </c>
      <c r="C10">
        <v>0.8</v>
      </c>
      <c r="D10">
        <f t="shared" si="0"/>
        <v>0.64000000000000012</v>
      </c>
    </row>
    <row r="11" spans="1:4" x14ac:dyDescent="0.2">
      <c r="A11" t="s">
        <v>346</v>
      </c>
      <c r="B11">
        <v>0.8</v>
      </c>
      <c r="C11">
        <v>0.8</v>
      </c>
      <c r="D11">
        <f t="shared" si="0"/>
        <v>0.64000000000000012</v>
      </c>
    </row>
    <row r="12" spans="1:4" x14ac:dyDescent="0.2">
      <c r="A12" t="s">
        <v>572</v>
      </c>
      <c r="B12">
        <v>0.8</v>
      </c>
      <c r="C12">
        <v>0.8</v>
      </c>
      <c r="D12">
        <f t="shared" si="0"/>
        <v>0.64000000000000012</v>
      </c>
    </row>
    <row r="13" spans="1:4" x14ac:dyDescent="0.2">
      <c r="A13" t="s">
        <v>376</v>
      </c>
      <c r="B13">
        <v>0.8</v>
      </c>
      <c r="C13">
        <v>0.8</v>
      </c>
      <c r="D13">
        <f t="shared" si="0"/>
        <v>0.64000000000000012</v>
      </c>
    </row>
    <row r="14" spans="1:4" x14ac:dyDescent="0.2">
      <c r="A14" t="s">
        <v>381</v>
      </c>
      <c r="B14">
        <v>1.6</v>
      </c>
      <c r="C14">
        <v>0.8</v>
      </c>
      <c r="D14">
        <f t="shared" si="0"/>
        <v>1.2800000000000002</v>
      </c>
    </row>
    <row r="15" spans="1:4" x14ac:dyDescent="0.2">
      <c r="A15" s="25" t="s">
        <v>236</v>
      </c>
      <c r="B15" s="25"/>
      <c r="C15" s="25"/>
      <c r="D15" s="25"/>
    </row>
    <row r="16" spans="1:4" x14ac:dyDescent="0.2">
      <c r="A16" t="s">
        <v>573</v>
      </c>
      <c r="B16">
        <v>0.8</v>
      </c>
      <c r="C16">
        <v>0.8</v>
      </c>
      <c r="D16">
        <f t="shared" ref="D16:D21" si="1">B16*C16</f>
        <v>0.64000000000000012</v>
      </c>
    </row>
    <row r="17" spans="1:4" x14ac:dyDescent="0.2">
      <c r="A17" t="s">
        <v>574</v>
      </c>
      <c r="B17">
        <v>0.8</v>
      </c>
      <c r="C17">
        <v>0.8</v>
      </c>
      <c r="D17">
        <f t="shared" si="1"/>
        <v>0.64000000000000012</v>
      </c>
    </row>
    <row r="18" spans="1:4" x14ac:dyDescent="0.2">
      <c r="A18" t="s">
        <v>575</v>
      </c>
      <c r="B18">
        <v>0.8</v>
      </c>
      <c r="C18">
        <v>0.8</v>
      </c>
      <c r="D18">
        <f t="shared" si="1"/>
        <v>0.64000000000000012</v>
      </c>
    </row>
    <row r="19" spans="1:4" x14ac:dyDescent="0.2">
      <c r="A19" t="s">
        <v>343</v>
      </c>
      <c r="B19">
        <f>1.8+0.9</f>
        <v>2.7</v>
      </c>
      <c r="C19">
        <v>0.8</v>
      </c>
      <c r="D19">
        <f t="shared" si="1"/>
        <v>2.16</v>
      </c>
    </row>
    <row r="20" spans="1:4" x14ac:dyDescent="0.2">
      <c r="A20" t="s">
        <v>570</v>
      </c>
      <c r="B20">
        <f>1.8+0.9</f>
        <v>2.7</v>
      </c>
      <c r="C20">
        <v>0.8</v>
      </c>
      <c r="D20">
        <f t="shared" si="1"/>
        <v>2.16</v>
      </c>
    </row>
    <row r="21" spans="1:4" x14ac:dyDescent="0.2">
      <c r="A21" t="s">
        <v>392</v>
      </c>
      <c r="B21">
        <v>0.8</v>
      </c>
      <c r="C21">
        <v>0.8</v>
      </c>
      <c r="D21">
        <f t="shared" si="1"/>
        <v>0.64000000000000012</v>
      </c>
    </row>
    <row r="22" spans="1:4" x14ac:dyDescent="0.2">
      <c r="A22" s="26" t="s">
        <v>265</v>
      </c>
      <c r="B22" s="7"/>
      <c r="C22" s="7"/>
      <c r="D22" s="7">
        <f>SUM(D3:D21)</f>
        <v>17.600000000000005</v>
      </c>
    </row>
  </sheetData>
  <mergeCells count="1">
    <mergeCell ref="A1:D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E3DDB-CC13-4995-9525-0B89E882ECDD}">
  <sheetPr codeName="Hoja18"/>
  <dimension ref="A2:B9"/>
  <sheetViews>
    <sheetView workbookViewId="0">
      <selection activeCell="D578" sqref="D578"/>
    </sheetView>
  </sheetViews>
  <sheetFormatPr baseColWidth="10" defaultRowHeight="16" x14ac:dyDescent="0.2"/>
  <cols>
    <col min="1" max="1" width="23.1640625" bestFit="1" customWidth="1"/>
    <col min="2" max="2" width="38.6640625" style="5" bestFit="1" customWidth="1"/>
  </cols>
  <sheetData>
    <row r="2" spans="1:2" x14ac:dyDescent="0.2">
      <c r="A2" s="25" t="s">
        <v>228</v>
      </c>
      <c r="B2" s="27" t="str">
        <f>'PRESUPUESTO FINAL'!C289</f>
        <v>LAVAPLATOS A.INOX. 50X 60CM PESTA.GRIFO</v>
      </c>
    </row>
    <row r="3" spans="1:2" x14ac:dyDescent="0.2">
      <c r="A3" t="s">
        <v>572</v>
      </c>
      <c r="B3" s="5">
        <v>1</v>
      </c>
    </row>
    <row r="4" spans="1:2" x14ac:dyDescent="0.2">
      <c r="A4" t="s">
        <v>376</v>
      </c>
      <c r="B4" s="5">
        <v>1</v>
      </c>
    </row>
    <row r="5" spans="1:2" x14ac:dyDescent="0.2">
      <c r="A5" t="s">
        <v>351</v>
      </c>
      <c r="B5" s="5">
        <v>1</v>
      </c>
    </row>
    <row r="6" spans="1:2" x14ac:dyDescent="0.2">
      <c r="A6" s="25" t="s">
        <v>236</v>
      </c>
      <c r="B6" s="27"/>
    </row>
    <row r="7" spans="1:2" x14ac:dyDescent="0.2">
      <c r="A7" t="s">
        <v>351</v>
      </c>
      <c r="B7" s="5">
        <v>1</v>
      </c>
    </row>
    <row r="8" spans="1:2" x14ac:dyDescent="0.2">
      <c r="A8" t="s">
        <v>384</v>
      </c>
      <c r="B8" s="5">
        <v>1</v>
      </c>
    </row>
    <row r="9" spans="1:2" x14ac:dyDescent="0.2">
      <c r="A9" t="s">
        <v>267</v>
      </c>
      <c r="B9" s="8">
        <f>SUM(B3:B8)</f>
        <v>5</v>
      </c>
    </row>
  </sheetData>
  <phoneticPr fontId="9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93013-74CA-4F9B-A323-54D6CCEF7130}">
  <sheetPr codeName="Hoja19"/>
  <dimension ref="A2:D27"/>
  <sheetViews>
    <sheetView workbookViewId="0">
      <selection activeCell="D578" sqref="D578"/>
    </sheetView>
  </sheetViews>
  <sheetFormatPr baseColWidth="10" defaultRowHeight="16" x14ac:dyDescent="0.2"/>
  <cols>
    <col min="1" max="1" width="30.33203125" bestFit="1" customWidth="1"/>
    <col min="2" max="2" width="37.83203125" style="5" bestFit="1" customWidth="1"/>
    <col min="3" max="3" width="29.83203125" style="5" bestFit="1" customWidth="1"/>
    <col min="4" max="4" width="39.1640625" style="5" bestFit="1" customWidth="1"/>
  </cols>
  <sheetData>
    <row r="2" spans="1:4" x14ac:dyDescent="0.2">
      <c r="A2" s="25" t="s">
        <v>225</v>
      </c>
      <c r="B2" s="27" t="str">
        <f>'PRESUPUESTO FINAL'!C285</f>
        <v>CANASTILLA - SIFON LAVAPLATOS</v>
      </c>
      <c r="C2" s="27" t="str">
        <f>'PRESUPUESTO FINAL'!C286</f>
        <v>REJILLA SOSCO 3"X2" ALUMINIO"</v>
      </c>
      <c r="D2" s="27" t="str">
        <f>'PRESUPUESTO FINAL'!C287</f>
        <v>TRAGANTE LOSA TCI 3 ATRAPA MANTO-ALUM</v>
      </c>
    </row>
    <row r="3" spans="1:4" x14ac:dyDescent="0.2">
      <c r="A3" t="s">
        <v>588</v>
      </c>
      <c r="C3" s="5">
        <v>2</v>
      </c>
    </row>
    <row r="4" spans="1:4" x14ac:dyDescent="0.2">
      <c r="A4" s="25" t="s">
        <v>228</v>
      </c>
      <c r="B4" s="27"/>
      <c r="C4" s="27"/>
      <c r="D4" s="27"/>
    </row>
    <row r="5" spans="1:4" x14ac:dyDescent="0.2">
      <c r="A5" t="s">
        <v>565</v>
      </c>
      <c r="C5" s="5">
        <v>1</v>
      </c>
    </row>
    <row r="6" spans="1:4" x14ac:dyDescent="0.2">
      <c r="A6" t="s">
        <v>569</v>
      </c>
      <c r="C6" s="5">
        <v>1</v>
      </c>
    </row>
    <row r="7" spans="1:4" x14ac:dyDescent="0.2">
      <c r="A7" t="s">
        <v>364</v>
      </c>
      <c r="C7" s="5">
        <v>2</v>
      </c>
    </row>
    <row r="8" spans="1:4" x14ac:dyDescent="0.2">
      <c r="A8" t="s">
        <v>343</v>
      </c>
      <c r="C8" s="5">
        <v>1</v>
      </c>
    </row>
    <row r="9" spans="1:4" x14ac:dyDescent="0.2">
      <c r="A9" t="s">
        <v>570</v>
      </c>
      <c r="C9" s="5">
        <v>1</v>
      </c>
    </row>
    <row r="10" spans="1:4" x14ac:dyDescent="0.2">
      <c r="A10" t="s">
        <v>571</v>
      </c>
      <c r="C10" s="5">
        <v>1</v>
      </c>
    </row>
    <row r="11" spans="1:4" x14ac:dyDescent="0.2">
      <c r="A11" t="s">
        <v>346</v>
      </c>
      <c r="C11" s="5">
        <v>1</v>
      </c>
    </row>
    <row r="12" spans="1:4" x14ac:dyDescent="0.2">
      <c r="A12" t="s">
        <v>572</v>
      </c>
      <c r="B12" s="5">
        <v>1</v>
      </c>
      <c r="C12" s="5">
        <v>1</v>
      </c>
    </row>
    <row r="13" spans="1:4" x14ac:dyDescent="0.2">
      <c r="A13" t="s">
        <v>376</v>
      </c>
      <c r="B13" s="5">
        <v>1</v>
      </c>
      <c r="C13" s="5">
        <v>1</v>
      </c>
    </row>
    <row r="14" spans="1:4" x14ac:dyDescent="0.2">
      <c r="A14" t="s">
        <v>381</v>
      </c>
      <c r="C14" s="5">
        <v>2</v>
      </c>
    </row>
    <row r="15" spans="1:4" x14ac:dyDescent="0.2">
      <c r="A15" t="s">
        <v>581</v>
      </c>
      <c r="B15" s="5">
        <v>1</v>
      </c>
    </row>
    <row r="16" spans="1:4" x14ac:dyDescent="0.2">
      <c r="A16" s="25" t="s">
        <v>236</v>
      </c>
      <c r="B16" s="27"/>
      <c r="C16" s="27"/>
      <c r="D16" s="27"/>
    </row>
    <row r="17" spans="1:4" x14ac:dyDescent="0.2">
      <c r="A17" t="s">
        <v>573</v>
      </c>
      <c r="C17" s="5">
        <v>1</v>
      </c>
    </row>
    <row r="18" spans="1:4" x14ac:dyDescent="0.2">
      <c r="A18" t="s">
        <v>574</v>
      </c>
      <c r="C18" s="5">
        <v>1</v>
      </c>
    </row>
    <row r="19" spans="1:4" x14ac:dyDescent="0.2">
      <c r="A19" t="s">
        <v>575</v>
      </c>
      <c r="C19" s="5">
        <v>1</v>
      </c>
    </row>
    <row r="20" spans="1:4" x14ac:dyDescent="0.2">
      <c r="A20" t="s">
        <v>343</v>
      </c>
      <c r="C20" s="5">
        <v>1</v>
      </c>
    </row>
    <row r="21" spans="1:4" x14ac:dyDescent="0.2">
      <c r="A21" t="s">
        <v>570</v>
      </c>
      <c r="C21" s="5">
        <v>1</v>
      </c>
    </row>
    <row r="22" spans="1:4" x14ac:dyDescent="0.2">
      <c r="A22" t="s">
        <v>392</v>
      </c>
      <c r="C22" s="5">
        <v>1</v>
      </c>
    </row>
    <row r="23" spans="1:4" x14ac:dyDescent="0.2">
      <c r="A23" t="s">
        <v>351</v>
      </c>
      <c r="B23" s="5">
        <v>1</v>
      </c>
    </row>
    <row r="24" spans="1:4" x14ac:dyDescent="0.2">
      <c r="A24" t="s">
        <v>239</v>
      </c>
      <c r="D24" s="5">
        <v>6</v>
      </c>
    </row>
    <row r="25" spans="1:4" x14ac:dyDescent="0.2">
      <c r="A25" s="25" t="s">
        <v>589</v>
      </c>
      <c r="B25" s="27"/>
      <c r="C25" s="27"/>
      <c r="D25" s="27"/>
    </row>
    <row r="26" spans="1:4" x14ac:dyDescent="0.2">
      <c r="A26" t="s">
        <v>239</v>
      </c>
      <c r="D26" s="5">
        <v>18</v>
      </c>
    </row>
    <row r="27" spans="1:4" x14ac:dyDescent="0.2">
      <c r="A27" s="26" t="s">
        <v>265</v>
      </c>
      <c r="B27" s="8">
        <f>SUM(B3:B26)</f>
        <v>4</v>
      </c>
      <c r="C27" s="8">
        <f>SUM(C3:C26)</f>
        <v>20</v>
      </c>
      <c r="D27" s="8">
        <f>SUM(D3:D26)</f>
        <v>24</v>
      </c>
    </row>
  </sheetData>
  <phoneticPr fontId="9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335DA-D15E-43FA-B3AA-C422BF234B2A}">
  <sheetPr codeName="Hoja20"/>
  <dimension ref="A1:E24"/>
  <sheetViews>
    <sheetView workbookViewId="0">
      <selection activeCell="D578" sqref="D578"/>
    </sheetView>
  </sheetViews>
  <sheetFormatPr baseColWidth="10" defaultRowHeight="16" x14ac:dyDescent="0.2"/>
  <cols>
    <col min="1" max="1" width="30.33203125" bestFit="1" customWidth="1"/>
    <col min="2" max="2" width="37.83203125" style="5" bestFit="1" customWidth="1"/>
    <col min="3" max="3" width="29" style="5" customWidth="1"/>
    <col min="4" max="5" width="27.6640625" style="5" bestFit="1" customWidth="1"/>
  </cols>
  <sheetData>
    <row r="1" spans="1:5" x14ac:dyDescent="0.2">
      <c r="A1" s="225" t="s">
        <v>577</v>
      </c>
      <c r="B1" s="225"/>
      <c r="C1" s="225"/>
      <c r="D1" s="225"/>
      <c r="E1" s="225"/>
    </row>
    <row r="2" spans="1:5" x14ac:dyDescent="0.2">
      <c r="A2" s="25" t="s">
        <v>225</v>
      </c>
      <c r="B2" s="27" t="str">
        <f>'PRESUPUESTO FINAL'!C281</f>
        <v>GRIFO LAVAMANOS PUSH MESON ANTIVALD</v>
      </c>
      <c r="C2" s="27" t="e">
        <f>'PRESUPUESTO FINAL'!#REF!</f>
        <v>#REF!</v>
      </c>
      <c r="D2" s="27" t="str">
        <f>'PRESUPUESTO FINAL'!C282</f>
        <v>GRIFO LAVAPLATOS 8 MEZCL</v>
      </c>
      <c r="E2" s="27" t="str">
        <f>'PRESUPUESTO FINAL'!C283</f>
        <v>GRIFO SANITARIO FLUXOMETRO</v>
      </c>
    </row>
    <row r="3" spans="1:5" x14ac:dyDescent="0.2">
      <c r="A3" t="s">
        <v>564</v>
      </c>
      <c r="C3" s="5">
        <v>1</v>
      </c>
    </row>
    <row r="4" spans="1:5" x14ac:dyDescent="0.2">
      <c r="A4" s="25" t="s">
        <v>228</v>
      </c>
      <c r="B4" s="27"/>
      <c r="C4" s="27"/>
      <c r="D4" s="27"/>
      <c r="E4" s="27"/>
    </row>
    <row r="5" spans="1:5" x14ac:dyDescent="0.2">
      <c r="A5" t="s">
        <v>565</v>
      </c>
      <c r="C5" s="5">
        <v>1</v>
      </c>
    </row>
    <row r="6" spans="1:5" x14ac:dyDescent="0.2">
      <c r="A6" t="s">
        <v>569</v>
      </c>
      <c r="C6" s="5">
        <v>1</v>
      </c>
    </row>
    <row r="7" spans="1:5" x14ac:dyDescent="0.2">
      <c r="A7" t="s">
        <v>364</v>
      </c>
      <c r="C7" s="5">
        <v>1</v>
      </c>
    </row>
    <row r="8" spans="1:5" x14ac:dyDescent="0.2">
      <c r="A8" t="s">
        <v>343</v>
      </c>
      <c r="B8" s="5">
        <v>3</v>
      </c>
      <c r="E8" s="5">
        <v>2</v>
      </c>
    </row>
    <row r="9" spans="1:5" x14ac:dyDescent="0.2">
      <c r="A9" t="s">
        <v>570</v>
      </c>
      <c r="B9" s="5">
        <v>3</v>
      </c>
      <c r="E9" s="5">
        <v>2</v>
      </c>
    </row>
    <row r="10" spans="1:5" x14ac:dyDescent="0.2">
      <c r="A10" t="s">
        <v>571</v>
      </c>
      <c r="C10" s="5">
        <v>1</v>
      </c>
    </row>
    <row r="11" spans="1:5" x14ac:dyDescent="0.2">
      <c r="A11" t="s">
        <v>346</v>
      </c>
      <c r="C11" s="5">
        <v>1</v>
      </c>
    </row>
    <row r="12" spans="1:5" x14ac:dyDescent="0.2">
      <c r="A12" t="s">
        <v>572</v>
      </c>
      <c r="C12" s="5">
        <v>1</v>
      </c>
      <c r="D12" s="5">
        <v>1</v>
      </c>
    </row>
    <row r="13" spans="1:5" x14ac:dyDescent="0.2">
      <c r="A13" t="s">
        <v>376</v>
      </c>
      <c r="C13" s="5">
        <v>1</v>
      </c>
      <c r="D13" s="5">
        <v>1</v>
      </c>
    </row>
    <row r="14" spans="1:5" x14ac:dyDescent="0.2">
      <c r="A14" t="s">
        <v>381</v>
      </c>
      <c r="C14" s="5">
        <v>2</v>
      </c>
    </row>
    <row r="15" spans="1:5" x14ac:dyDescent="0.2">
      <c r="A15" t="s">
        <v>581</v>
      </c>
      <c r="D15" s="5">
        <v>1</v>
      </c>
    </row>
    <row r="16" spans="1:5" x14ac:dyDescent="0.2">
      <c r="A16" s="25" t="s">
        <v>236</v>
      </c>
      <c r="B16" s="27"/>
      <c r="C16" s="27"/>
      <c r="D16" s="27"/>
      <c r="E16" s="27"/>
    </row>
    <row r="17" spans="1:5" x14ac:dyDescent="0.2">
      <c r="A17" t="s">
        <v>573</v>
      </c>
      <c r="D17" s="5">
        <v>1</v>
      </c>
    </row>
    <row r="18" spans="1:5" x14ac:dyDescent="0.2">
      <c r="A18" t="s">
        <v>574</v>
      </c>
      <c r="C18" s="5">
        <v>1</v>
      </c>
    </row>
    <row r="19" spans="1:5" x14ac:dyDescent="0.2">
      <c r="A19" t="s">
        <v>575</v>
      </c>
      <c r="C19" s="5">
        <v>1</v>
      </c>
    </row>
    <row r="20" spans="1:5" x14ac:dyDescent="0.2">
      <c r="A20" t="s">
        <v>343</v>
      </c>
      <c r="B20" s="5">
        <v>3</v>
      </c>
      <c r="E20" s="5">
        <v>2</v>
      </c>
    </row>
    <row r="21" spans="1:5" x14ac:dyDescent="0.2">
      <c r="A21" t="s">
        <v>570</v>
      </c>
      <c r="B21" s="5">
        <v>3</v>
      </c>
      <c r="E21" s="5">
        <v>2</v>
      </c>
    </row>
    <row r="22" spans="1:5" x14ac:dyDescent="0.2">
      <c r="A22" t="s">
        <v>392</v>
      </c>
      <c r="C22" s="5">
        <v>1</v>
      </c>
    </row>
    <row r="23" spans="1:5" x14ac:dyDescent="0.2">
      <c r="A23" t="s">
        <v>351</v>
      </c>
      <c r="D23" s="5">
        <v>1</v>
      </c>
    </row>
    <row r="24" spans="1:5" x14ac:dyDescent="0.2">
      <c r="A24" s="26" t="s">
        <v>265</v>
      </c>
      <c r="B24" s="8">
        <f>SUM(B3:B22)</f>
        <v>12</v>
      </c>
      <c r="C24" s="8">
        <f>SUM(C3:C22)</f>
        <v>13</v>
      </c>
      <c r="D24" s="8">
        <f>SUM(D3:D23)</f>
        <v>5</v>
      </c>
      <c r="E24" s="8">
        <f>SUM(E3:E22)</f>
        <v>8</v>
      </c>
    </row>
  </sheetData>
  <mergeCells count="1">
    <mergeCell ref="A1:E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E0604-F00E-4F9E-B615-76805254A26E}">
  <sheetPr codeName="Hoja21"/>
  <dimension ref="A1:H22"/>
  <sheetViews>
    <sheetView workbookViewId="0">
      <selection activeCell="D578" sqref="D578"/>
    </sheetView>
  </sheetViews>
  <sheetFormatPr baseColWidth="10" defaultRowHeight="16" x14ac:dyDescent="0.2"/>
  <cols>
    <col min="1" max="1" width="30.33203125" bestFit="1" customWidth="1"/>
    <col min="3" max="3" width="11.6640625" bestFit="1" customWidth="1"/>
    <col min="5" max="5" width="30.33203125" bestFit="1" customWidth="1"/>
    <col min="6" max="6" width="28.6640625" style="5" bestFit="1" customWidth="1"/>
    <col min="7" max="8" width="35.1640625" style="5" bestFit="1" customWidth="1"/>
  </cols>
  <sheetData>
    <row r="1" spans="1:8" x14ac:dyDescent="0.2">
      <c r="A1" s="225" t="s">
        <v>567</v>
      </c>
      <c r="B1" s="225"/>
      <c r="C1" s="225"/>
      <c r="E1" s="225" t="s">
        <v>567</v>
      </c>
      <c r="F1" s="225"/>
      <c r="G1" s="225"/>
      <c r="H1" s="225"/>
    </row>
    <row r="2" spans="1:8" x14ac:dyDescent="0.2">
      <c r="A2" s="25" t="s">
        <v>225</v>
      </c>
      <c r="B2" s="25" t="s">
        <v>566</v>
      </c>
      <c r="C2" s="25" t="s">
        <v>568</v>
      </c>
      <c r="E2" s="25" t="s">
        <v>225</v>
      </c>
      <c r="F2" s="27" t="str">
        <f>'PRESUPUESTO FINAL'!C276</f>
        <v>TAZA ALONGADO INSTITUCIONAL DISCAP</v>
      </c>
      <c r="G2" s="27" t="str">
        <f>'PRESUPUESTO FINAL'!C278</f>
        <v>TAZA SANITARIA+ VALV.FLUXOMETRO</v>
      </c>
      <c r="H2" s="27" t="str">
        <f>'PRESUPUESTO FINAL'!C279</f>
        <v>COMBO SANITARIO ECONOMICO [S+L+G+I]</v>
      </c>
    </row>
    <row r="3" spans="1:8" x14ac:dyDescent="0.2">
      <c r="A3" t="s">
        <v>564</v>
      </c>
      <c r="E3" t="s">
        <v>564</v>
      </c>
      <c r="G3" s="5">
        <v>1</v>
      </c>
    </row>
    <row r="4" spans="1:8" x14ac:dyDescent="0.2">
      <c r="A4" s="25" t="s">
        <v>228</v>
      </c>
      <c r="B4" s="25"/>
      <c r="C4" s="25"/>
      <c r="E4" s="25" t="s">
        <v>228</v>
      </c>
      <c r="F4" s="27"/>
      <c r="G4" s="27"/>
      <c r="H4" s="27"/>
    </row>
    <row r="5" spans="1:8" x14ac:dyDescent="0.2">
      <c r="A5" t="s">
        <v>565</v>
      </c>
      <c r="C5">
        <v>1</v>
      </c>
      <c r="E5" t="s">
        <v>565</v>
      </c>
      <c r="G5" s="5">
        <v>1</v>
      </c>
    </row>
    <row r="6" spans="1:8" x14ac:dyDescent="0.2">
      <c r="A6" t="s">
        <v>569</v>
      </c>
      <c r="C6">
        <v>1</v>
      </c>
      <c r="E6" t="s">
        <v>569</v>
      </c>
      <c r="G6" s="5">
        <v>1</v>
      </c>
    </row>
    <row r="7" spans="1:8" x14ac:dyDescent="0.2">
      <c r="A7" t="s">
        <v>364</v>
      </c>
      <c r="C7">
        <v>2</v>
      </c>
      <c r="E7" t="s">
        <v>364</v>
      </c>
      <c r="G7" s="5">
        <v>1</v>
      </c>
    </row>
    <row r="8" spans="1:8" x14ac:dyDescent="0.2">
      <c r="A8" t="s">
        <v>343</v>
      </c>
      <c r="B8">
        <v>2</v>
      </c>
      <c r="E8" t="s">
        <v>343</v>
      </c>
      <c r="F8" s="5">
        <v>1</v>
      </c>
      <c r="H8" s="5">
        <v>1</v>
      </c>
    </row>
    <row r="9" spans="1:8" x14ac:dyDescent="0.2">
      <c r="A9" t="s">
        <v>570</v>
      </c>
      <c r="B9">
        <v>2</v>
      </c>
      <c r="E9" t="s">
        <v>570</v>
      </c>
      <c r="F9" s="5">
        <v>1</v>
      </c>
      <c r="H9" s="5">
        <v>1</v>
      </c>
    </row>
    <row r="10" spans="1:8" x14ac:dyDescent="0.2">
      <c r="A10" t="s">
        <v>571</v>
      </c>
      <c r="C10">
        <v>1</v>
      </c>
      <c r="E10" t="s">
        <v>571</v>
      </c>
      <c r="G10" s="5">
        <v>1</v>
      </c>
    </row>
    <row r="11" spans="1:8" x14ac:dyDescent="0.2">
      <c r="A11" t="s">
        <v>346</v>
      </c>
      <c r="C11">
        <v>2</v>
      </c>
      <c r="E11" t="s">
        <v>346</v>
      </c>
      <c r="G11" s="5">
        <v>1</v>
      </c>
    </row>
    <row r="12" spans="1:8" x14ac:dyDescent="0.2">
      <c r="A12" t="s">
        <v>572</v>
      </c>
      <c r="C12">
        <v>1</v>
      </c>
      <c r="E12" t="s">
        <v>572</v>
      </c>
      <c r="G12" s="5">
        <v>1</v>
      </c>
    </row>
    <row r="13" spans="1:8" x14ac:dyDescent="0.2">
      <c r="A13" t="s">
        <v>376</v>
      </c>
      <c r="C13">
        <v>1</v>
      </c>
      <c r="E13" t="s">
        <v>376</v>
      </c>
      <c r="G13" s="5">
        <v>1</v>
      </c>
    </row>
    <row r="14" spans="1:8" x14ac:dyDescent="0.2">
      <c r="A14" t="s">
        <v>381</v>
      </c>
      <c r="C14">
        <v>2</v>
      </c>
      <c r="E14" t="s">
        <v>381</v>
      </c>
      <c r="G14" s="5">
        <v>1</v>
      </c>
    </row>
    <row r="15" spans="1:8" x14ac:dyDescent="0.2">
      <c r="A15" s="25" t="s">
        <v>236</v>
      </c>
      <c r="B15" s="25"/>
      <c r="C15" s="25"/>
      <c r="E15" s="25" t="s">
        <v>236</v>
      </c>
      <c r="F15" s="27"/>
      <c r="G15" s="27"/>
      <c r="H15" s="27"/>
    </row>
    <row r="16" spans="1:8" x14ac:dyDescent="0.2">
      <c r="A16" t="s">
        <v>573</v>
      </c>
      <c r="C16">
        <v>1</v>
      </c>
      <c r="E16" t="s">
        <v>573</v>
      </c>
      <c r="G16" s="5">
        <v>1</v>
      </c>
    </row>
    <row r="17" spans="1:8" x14ac:dyDescent="0.2">
      <c r="A17" t="s">
        <v>574</v>
      </c>
      <c r="C17">
        <v>1</v>
      </c>
      <c r="E17" t="s">
        <v>574</v>
      </c>
      <c r="G17" s="5">
        <v>1</v>
      </c>
    </row>
    <row r="18" spans="1:8" x14ac:dyDescent="0.2">
      <c r="A18" t="s">
        <v>575</v>
      </c>
      <c r="C18">
        <v>1</v>
      </c>
      <c r="E18" t="s">
        <v>575</v>
      </c>
      <c r="G18" s="5">
        <v>1</v>
      </c>
    </row>
    <row r="19" spans="1:8" x14ac:dyDescent="0.2">
      <c r="A19" t="s">
        <v>343</v>
      </c>
      <c r="B19">
        <v>2</v>
      </c>
      <c r="E19" t="s">
        <v>343</v>
      </c>
      <c r="F19" s="5">
        <v>1</v>
      </c>
      <c r="H19" s="5">
        <v>1</v>
      </c>
    </row>
    <row r="20" spans="1:8" x14ac:dyDescent="0.2">
      <c r="A20" t="s">
        <v>570</v>
      </c>
      <c r="B20">
        <v>2</v>
      </c>
      <c r="E20" t="s">
        <v>570</v>
      </c>
      <c r="F20" s="5">
        <v>1</v>
      </c>
      <c r="H20" s="5">
        <v>1</v>
      </c>
    </row>
    <row r="21" spans="1:8" x14ac:dyDescent="0.2">
      <c r="A21" t="s">
        <v>392</v>
      </c>
      <c r="C21">
        <v>1</v>
      </c>
      <c r="E21" t="s">
        <v>392</v>
      </c>
      <c r="G21" s="5">
        <v>1</v>
      </c>
    </row>
    <row r="22" spans="1:8" x14ac:dyDescent="0.2">
      <c r="A22" s="26" t="s">
        <v>265</v>
      </c>
      <c r="B22" s="7">
        <f>SUM(B3:B21)</f>
        <v>8</v>
      </c>
      <c r="C22" s="7">
        <f>SUM(C3:C21)</f>
        <v>15</v>
      </c>
      <c r="E22" s="26" t="s">
        <v>265</v>
      </c>
      <c r="F22" s="8">
        <f>SUM(F3:F21)</f>
        <v>4</v>
      </c>
      <c r="G22" s="8">
        <f>SUM(G3:G21)</f>
        <v>13</v>
      </c>
      <c r="H22" s="8">
        <f>SUM(H3:H21)</f>
        <v>4</v>
      </c>
    </row>
  </sheetData>
  <mergeCells count="2">
    <mergeCell ref="A1:C1"/>
    <mergeCell ref="E1:H1"/>
  </mergeCells>
  <phoneticPr fontId="9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0C1D5-F46D-43D5-B95D-D70D14BF8D8A}">
  <sheetPr codeName="Hoja22"/>
  <dimension ref="A1:D8"/>
  <sheetViews>
    <sheetView workbookViewId="0">
      <selection activeCell="D578" sqref="D578"/>
    </sheetView>
  </sheetViews>
  <sheetFormatPr baseColWidth="10" defaultRowHeight="16" x14ac:dyDescent="0.2"/>
  <cols>
    <col min="1" max="1" width="24.33203125" bestFit="1" customWidth="1"/>
  </cols>
  <sheetData>
    <row r="1" spans="1:4" x14ac:dyDescent="0.2">
      <c r="A1" t="s">
        <v>552</v>
      </c>
    </row>
    <row r="2" spans="1:4" x14ac:dyDescent="0.2">
      <c r="B2" t="s">
        <v>228</v>
      </c>
      <c r="C2" t="s">
        <v>236</v>
      </c>
      <c r="D2" t="s">
        <v>267</v>
      </c>
    </row>
    <row r="3" spans="1:4" x14ac:dyDescent="0.2">
      <c r="A3" t="s">
        <v>553</v>
      </c>
      <c r="B3">
        <v>2</v>
      </c>
      <c r="C3">
        <v>2</v>
      </c>
      <c r="D3" s="7">
        <f>SUM(B3:C3)</f>
        <v>4</v>
      </c>
    </row>
    <row r="4" spans="1:4" x14ac:dyDescent="0.2">
      <c r="A4" t="s">
        <v>554</v>
      </c>
      <c r="B4">
        <v>2</v>
      </c>
      <c r="C4">
        <v>2</v>
      </c>
      <c r="D4" s="7">
        <f>SUM(B4:C4)</f>
        <v>4</v>
      </c>
    </row>
    <row r="5" spans="1:4" x14ac:dyDescent="0.2">
      <c r="A5" t="s">
        <v>555</v>
      </c>
      <c r="B5">
        <v>2</v>
      </c>
      <c r="C5">
        <v>2</v>
      </c>
      <c r="D5" s="7">
        <f>SUM(B5:C5)</f>
        <v>4</v>
      </c>
    </row>
    <row r="6" spans="1:4" x14ac:dyDescent="0.2">
      <c r="A6" t="s">
        <v>556</v>
      </c>
      <c r="B6">
        <v>4</v>
      </c>
      <c r="C6">
        <v>4</v>
      </c>
      <c r="D6" s="7">
        <f>SUM(B6:C6)</f>
        <v>8</v>
      </c>
    </row>
    <row r="7" spans="1:4" x14ac:dyDescent="0.2">
      <c r="A7" t="s">
        <v>559</v>
      </c>
      <c r="B7">
        <f>2.8*2</f>
        <v>5.6</v>
      </c>
      <c r="C7">
        <f>2.8*2</f>
        <v>5.6</v>
      </c>
      <c r="D7" s="7">
        <f>B7+C7</f>
        <v>11.2</v>
      </c>
    </row>
    <row r="8" spans="1:4" x14ac:dyDescent="0.2">
      <c r="A8" t="s">
        <v>561</v>
      </c>
      <c r="B8">
        <v>4</v>
      </c>
      <c r="C8">
        <v>4</v>
      </c>
      <c r="D8" s="7">
        <f>SUM(B8:C8)</f>
        <v>8</v>
      </c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FCB91-E063-4EC6-BD86-8B7F13D66E28}">
  <sheetPr codeName="Hoja23"/>
  <dimension ref="A1:K17"/>
  <sheetViews>
    <sheetView zoomScale="85" zoomScaleNormal="85" workbookViewId="0">
      <selection activeCell="E4" sqref="E4"/>
    </sheetView>
  </sheetViews>
  <sheetFormatPr baseColWidth="10" defaultRowHeight="16" x14ac:dyDescent="0.2"/>
  <cols>
    <col min="1" max="1" width="25" bestFit="1" customWidth="1"/>
    <col min="7" max="9" width="11" style="2"/>
    <col min="11" max="11" width="24.5" bestFit="1" customWidth="1"/>
  </cols>
  <sheetData>
    <row r="1" spans="1:11" x14ac:dyDescent="0.2">
      <c r="A1" s="17"/>
      <c r="B1" s="17" t="s">
        <v>537</v>
      </c>
      <c r="C1" s="17" t="s">
        <v>538</v>
      </c>
      <c r="D1" s="17" t="s">
        <v>539</v>
      </c>
      <c r="E1" s="17" t="s">
        <v>540</v>
      </c>
      <c r="G1" s="226" t="s">
        <v>543</v>
      </c>
      <c r="H1" s="226"/>
      <c r="I1" s="226"/>
      <c r="J1" s="226"/>
      <c r="K1" s="15"/>
    </row>
    <row r="2" spans="1:11" x14ac:dyDescent="0.2">
      <c r="A2" s="17"/>
      <c r="B2" s="17"/>
      <c r="C2" s="17"/>
      <c r="D2" s="17"/>
      <c r="E2" s="17"/>
      <c r="G2" s="14" t="s">
        <v>311</v>
      </c>
      <c r="H2" s="14" t="s">
        <v>298</v>
      </c>
      <c r="I2" s="14" t="s">
        <v>107</v>
      </c>
      <c r="J2" s="14" t="s">
        <v>267</v>
      </c>
      <c r="K2" s="15"/>
    </row>
    <row r="3" spans="1:11" x14ac:dyDescent="0.2">
      <c r="A3" s="17" t="s">
        <v>225</v>
      </c>
      <c r="B3" s="17"/>
      <c r="C3" s="17">
        <v>1</v>
      </c>
      <c r="D3" s="17"/>
      <c r="E3" s="17">
        <v>1</v>
      </c>
      <c r="G3" s="14">
        <v>2.5499999999999998</v>
      </c>
      <c r="H3" s="14">
        <v>1.4</v>
      </c>
      <c r="I3" s="14">
        <v>1</v>
      </c>
      <c r="J3" s="15">
        <f>(G3*H3)*I3</f>
        <v>3.5699999999999994</v>
      </c>
      <c r="K3" s="15" t="s">
        <v>544</v>
      </c>
    </row>
    <row r="4" spans="1:11" x14ac:dyDescent="0.2">
      <c r="A4" s="17" t="s">
        <v>228</v>
      </c>
      <c r="B4" s="17">
        <v>23</v>
      </c>
      <c r="C4" s="17">
        <v>13</v>
      </c>
      <c r="D4" s="17">
        <v>1</v>
      </c>
      <c r="E4" s="17">
        <v>3</v>
      </c>
      <c r="G4" s="14">
        <v>2.5499999999999998</v>
      </c>
      <c r="H4" s="14">
        <v>1.4</v>
      </c>
      <c r="I4" s="14">
        <v>1</v>
      </c>
      <c r="J4" s="15">
        <f>(G4*H4)*I4</f>
        <v>3.5699999999999994</v>
      </c>
      <c r="K4" s="15" t="s">
        <v>545</v>
      </c>
    </row>
    <row r="5" spans="1:11" x14ac:dyDescent="0.2">
      <c r="A5" s="17" t="s">
        <v>236</v>
      </c>
      <c r="B5" s="17">
        <v>6</v>
      </c>
      <c r="C5" s="17">
        <v>9</v>
      </c>
      <c r="D5" s="17"/>
      <c r="E5" s="17">
        <v>2</v>
      </c>
      <c r="G5" s="14"/>
      <c r="H5" s="14"/>
      <c r="I5" s="14" t="s">
        <v>267</v>
      </c>
      <c r="J5" s="16">
        <f>SUM(J3:J4)</f>
        <v>7.1399999999999988</v>
      </c>
      <c r="K5" s="15"/>
    </row>
    <row r="6" spans="1:11" x14ac:dyDescent="0.2">
      <c r="A6" s="18" t="s">
        <v>267</v>
      </c>
      <c r="B6" s="18">
        <f>SUM(B3:B5)</f>
        <v>29</v>
      </c>
      <c r="C6" s="18">
        <f t="shared" ref="C6:E6" si="0">SUM(C3:C5)</f>
        <v>23</v>
      </c>
      <c r="D6" s="18">
        <f t="shared" si="0"/>
        <v>1</v>
      </c>
      <c r="E6" s="18">
        <f t="shared" si="0"/>
        <v>6</v>
      </c>
    </row>
    <row r="8" spans="1:11" x14ac:dyDescent="0.2">
      <c r="A8" s="19" t="s">
        <v>530</v>
      </c>
      <c r="B8" s="19"/>
      <c r="C8" s="19"/>
      <c r="D8" s="20">
        <f>SUM(D6)*2</f>
        <v>2</v>
      </c>
    </row>
    <row r="10" spans="1:11" x14ac:dyDescent="0.2">
      <c r="A10" s="21" t="s">
        <v>534</v>
      </c>
      <c r="B10" s="21"/>
      <c r="C10" s="22">
        <f>C6</f>
        <v>23</v>
      </c>
      <c r="D10" s="21"/>
    </row>
    <row r="11" spans="1:11" x14ac:dyDescent="0.2">
      <c r="A11" s="21" t="s">
        <v>535</v>
      </c>
      <c r="B11" s="22">
        <f>B6</f>
        <v>29</v>
      </c>
      <c r="C11" s="21"/>
      <c r="D11" s="21"/>
    </row>
    <row r="12" spans="1:11" x14ac:dyDescent="0.2">
      <c r="A12" s="21" t="s">
        <v>536</v>
      </c>
      <c r="B12" s="21"/>
      <c r="C12" s="21"/>
      <c r="D12" s="22">
        <f>D6</f>
        <v>1</v>
      </c>
    </row>
    <row r="14" spans="1:11" x14ac:dyDescent="0.2">
      <c r="A14" s="23" t="s">
        <v>546</v>
      </c>
      <c r="B14" s="24">
        <f>B6+C6-B15</f>
        <v>39</v>
      </c>
    </row>
    <row r="15" spans="1:11" x14ac:dyDescent="0.2">
      <c r="A15" s="23" t="s">
        <v>547</v>
      </c>
      <c r="B15" s="24">
        <v>13</v>
      </c>
    </row>
    <row r="16" spans="1:11" x14ac:dyDescent="0.2">
      <c r="A16" s="23" t="s">
        <v>549</v>
      </c>
      <c r="B16" s="24">
        <f>I3+I4</f>
        <v>2</v>
      </c>
    </row>
    <row r="17" spans="1:2" x14ac:dyDescent="0.2">
      <c r="A17" s="24" t="s">
        <v>551</v>
      </c>
      <c r="B17" s="24">
        <f>B16*2</f>
        <v>4</v>
      </c>
    </row>
  </sheetData>
  <mergeCells count="1">
    <mergeCell ref="G1:J1"/>
  </mergeCells>
  <phoneticPr fontId="9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0A213-7992-4950-AFFF-9958227C2C17}">
  <sheetPr codeName="Hoja24"/>
  <dimension ref="A1:C68"/>
  <sheetViews>
    <sheetView workbookViewId="0">
      <selection activeCell="D578" sqref="D578"/>
    </sheetView>
  </sheetViews>
  <sheetFormatPr baseColWidth="10" defaultRowHeight="16" x14ac:dyDescent="0.2"/>
  <cols>
    <col min="1" max="1" width="31.33203125" bestFit="1" customWidth="1"/>
  </cols>
  <sheetData>
    <row r="1" spans="1:3" x14ac:dyDescent="0.2">
      <c r="A1" t="s">
        <v>225</v>
      </c>
    </row>
    <row r="2" spans="1:3" x14ac:dyDescent="0.2">
      <c r="B2">
        <v>0.7</v>
      </c>
      <c r="C2">
        <v>2.5499999999999998</v>
      </c>
    </row>
    <row r="3" spans="1:3" x14ac:dyDescent="0.2">
      <c r="A3" t="s">
        <v>228</v>
      </c>
    </row>
    <row r="4" spans="1:3" x14ac:dyDescent="0.2">
      <c r="A4" s="3" t="s">
        <v>363</v>
      </c>
      <c r="B4">
        <v>0.7</v>
      </c>
      <c r="C4">
        <v>2.5499999999999998</v>
      </c>
    </row>
    <row r="5" spans="1:3" x14ac:dyDescent="0.2">
      <c r="A5" t="s">
        <v>364</v>
      </c>
    </row>
    <row r="6" spans="1:3" x14ac:dyDescent="0.2">
      <c r="A6" t="s">
        <v>365</v>
      </c>
      <c r="B6">
        <v>0.9</v>
      </c>
      <c r="C6">
        <v>2.5499999999999998</v>
      </c>
    </row>
    <row r="7" spans="1:3" x14ac:dyDescent="0.2">
      <c r="A7" t="s">
        <v>366</v>
      </c>
      <c r="B7">
        <v>0.9</v>
      </c>
      <c r="C7">
        <v>2.5499999999999998</v>
      </c>
    </row>
    <row r="8" spans="1:3" x14ac:dyDescent="0.2">
      <c r="A8" t="s">
        <v>299</v>
      </c>
      <c r="B8">
        <v>0.7</v>
      </c>
      <c r="C8">
        <v>2.5499999999999998</v>
      </c>
    </row>
    <row r="9" spans="1:3" x14ac:dyDescent="0.2">
      <c r="A9" s="3" t="s">
        <v>340</v>
      </c>
      <c r="B9">
        <v>0.7</v>
      </c>
      <c r="C9">
        <v>2.5499999999999998</v>
      </c>
    </row>
    <row r="10" spans="1:3" x14ac:dyDescent="0.2">
      <c r="A10" s="3" t="s">
        <v>367</v>
      </c>
      <c r="B10">
        <v>0.7</v>
      </c>
      <c r="C10">
        <v>2.5499999999999998</v>
      </c>
    </row>
    <row r="11" spans="1:3" x14ac:dyDescent="0.2">
      <c r="A11" t="s">
        <v>374</v>
      </c>
      <c r="B11">
        <v>0.9</v>
      </c>
      <c r="C11">
        <v>2.5499999999999998</v>
      </c>
    </row>
    <row r="12" spans="1:3" x14ac:dyDescent="0.2">
      <c r="A12" t="s">
        <v>299</v>
      </c>
      <c r="B12">
        <v>0.7</v>
      </c>
      <c r="C12">
        <v>2.5499999999999998</v>
      </c>
    </row>
    <row r="13" spans="1:3" x14ac:dyDescent="0.2">
      <c r="A13" s="3" t="s">
        <v>367</v>
      </c>
      <c r="B13">
        <v>0.7</v>
      </c>
      <c r="C13">
        <v>2.5499999999999998</v>
      </c>
    </row>
    <row r="14" spans="1:3" x14ac:dyDescent="0.2">
      <c r="A14" t="s">
        <v>369</v>
      </c>
      <c r="B14">
        <v>0.9</v>
      </c>
      <c r="C14">
        <v>2.5499999999999998</v>
      </c>
    </row>
    <row r="15" spans="1:3" x14ac:dyDescent="0.2">
      <c r="A15" t="s">
        <v>343</v>
      </c>
      <c r="B15">
        <v>0.9</v>
      </c>
      <c r="C15">
        <v>2.5499999999999998</v>
      </c>
    </row>
    <row r="16" spans="1:3" x14ac:dyDescent="0.2">
      <c r="A16" t="s">
        <v>344</v>
      </c>
      <c r="B16">
        <v>0.9</v>
      </c>
      <c r="C16">
        <v>2.5499999999999998</v>
      </c>
    </row>
    <row r="17" spans="1:3" x14ac:dyDescent="0.2">
      <c r="A17" t="s">
        <v>370</v>
      </c>
    </row>
    <row r="18" spans="1:3" x14ac:dyDescent="0.2">
      <c r="A18" t="s">
        <v>371</v>
      </c>
      <c r="B18">
        <v>0.9</v>
      </c>
      <c r="C18">
        <v>2.5499999999999998</v>
      </c>
    </row>
    <row r="19" spans="1:3" x14ac:dyDescent="0.2">
      <c r="A19" s="3" t="s">
        <v>363</v>
      </c>
      <c r="B19">
        <v>0.7</v>
      </c>
      <c r="C19">
        <v>2.5499999999999998</v>
      </c>
    </row>
    <row r="20" spans="1:3" x14ac:dyDescent="0.2">
      <c r="A20" t="s">
        <v>372</v>
      </c>
      <c r="B20">
        <v>0.9</v>
      </c>
      <c r="C20">
        <v>2.5499999999999998</v>
      </c>
    </row>
    <row r="21" spans="1:3" x14ac:dyDescent="0.2">
      <c r="A21" t="s">
        <v>346</v>
      </c>
      <c r="B21">
        <v>0.9</v>
      </c>
      <c r="C21">
        <v>2.5499999999999998</v>
      </c>
    </row>
    <row r="22" spans="1:3" x14ac:dyDescent="0.2">
      <c r="A22" t="s">
        <v>373</v>
      </c>
      <c r="B22">
        <v>0.9</v>
      </c>
      <c r="C22">
        <v>2.5499999999999998</v>
      </c>
    </row>
    <row r="23" spans="1:3" x14ac:dyDescent="0.2">
      <c r="A23" t="s">
        <v>368</v>
      </c>
      <c r="B23">
        <v>1.4</v>
      </c>
      <c r="C23">
        <v>2.5499999999999998</v>
      </c>
    </row>
    <row r="24" spans="1:3" x14ac:dyDescent="0.2">
      <c r="A24" t="s">
        <v>375</v>
      </c>
      <c r="B24">
        <v>0.9</v>
      </c>
      <c r="C24">
        <v>2.5499999999999998</v>
      </c>
    </row>
    <row r="25" spans="1:3" x14ac:dyDescent="0.2">
      <c r="A25" s="3" t="s">
        <v>347</v>
      </c>
      <c r="B25">
        <v>0.7</v>
      </c>
      <c r="C25">
        <v>2.5499999999999998</v>
      </c>
    </row>
    <row r="26" spans="1:3" x14ac:dyDescent="0.2">
      <c r="A26" t="s">
        <v>351</v>
      </c>
      <c r="B26">
        <v>0.7</v>
      </c>
      <c r="C26">
        <v>2.5499999999999998</v>
      </c>
    </row>
    <row r="27" spans="1:3" x14ac:dyDescent="0.2">
      <c r="A27" s="3" t="s">
        <v>348</v>
      </c>
      <c r="B27">
        <v>0.7</v>
      </c>
      <c r="C27">
        <v>2.5499999999999998</v>
      </c>
    </row>
    <row r="28" spans="1:3" x14ac:dyDescent="0.2">
      <c r="A28" t="s">
        <v>376</v>
      </c>
      <c r="B28">
        <v>0.9</v>
      </c>
      <c r="C28">
        <v>2.5499999999999998</v>
      </c>
    </row>
    <row r="29" spans="1:3" x14ac:dyDescent="0.2">
      <c r="A29" t="s">
        <v>377</v>
      </c>
      <c r="B29">
        <v>0.9</v>
      </c>
      <c r="C29">
        <v>2.5499999999999998</v>
      </c>
    </row>
    <row r="30" spans="1:3" x14ac:dyDescent="0.2">
      <c r="A30" t="s">
        <v>368</v>
      </c>
      <c r="B30">
        <v>1.4</v>
      </c>
      <c r="C30">
        <v>2.5499999999999998</v>
      </c>
    </row>
    <row r="31" spans="1:3" x14ac:dyDescent="0.2">
      <c r="A31" t="s">
        <v>373</v>
      </c>
      <c r="B31">
        <v>0.9</v>
      </c>
      <c r="C31">
        <v>2.5499999999999998</v>
      </c>
    </row>
    <row r="32" spans="1:3" x14ac:dyDescent="0.2">
      <c r="A32" t="s">
        <v>346</v>
      </c>
      <c r="B32">
        <v>0.9</v>
      </c>
      <c r="C32">
        <v>2.5499999999999998</v>
      </c>
    </row>
    <row r="33" spans="1:3" x14ac:dyDescent="0.2">
      <c r="A33" t="s">
        <v>346</v>
      </c>
      <c r="B33">
        <v>0.9</v>
      </c>
      <c r="C33">
        <v>2.5499999999999998</v>
      </c>
    </row>
    <row r="34" spans="1:3" x14ac:dyDescent="0.2">
      <c r="A34" t="s">
        <v>370</v>
      </c>
    </row>
    <row r="35" spans="1:3" x14ac:dyDescent="0.2">
      <c r="A35" t="s">
        <v>378</v>
      </c>
    </row>
    <row r="36" spans="1:3" x14ac:dyDescent="0.2">
      <c r="A36" t="s">
        <v>379</v>
      </c>
      <c r="B36">
        <v>0.9</v>
      </c>
      <c r="C36">
        <v>2.5499999999999998</v>
      </c>
    </row>
    <row r="37" spans="1:3" x14ac:dyDescent="0.2">
      <c r="A37" t="s">
        <v>380</v>
      </c>
      <c r="B37">
        <v>0.9</v>
      </c>
      <c r="C37">
        <v>2.5499999999999998</v>
      </c>
    </row>
    <row r="38" spans="1:3" x14ac:dyDescent="0.2">
      <c r="A38" t="s">
        <v>381</v>
      </c>
      <c r="B38">
        <v>0.9</v>
      </c>
      <c r="C38">
        <v>2.5499999999999998</v>
      </c>
    </row>
    <row r="39" spans="1:3" x14ac:dyDescent="0.2">
      <c r="A39" t="s">
        <v>381</v>
      </c>
      <c r="B39">
        <v>0.9</v>
      </c>
      <c r="C39">
        <v>2.5499999999999998</v>
      </c>
    </row>
    <row r="40" spans="1:3" x14ac:dyDescent="0.2">
      <c r="A40" s="3" t="s">
        <v>363</v>
      </c>
      <c r="B40">
        <v>0.9</v>
      </c>
      <c r="C40">
        <v>2.5499999999999998</v>
      </c>
    </row>
    <row r="41" spans="1:3" x14ac:dyDescent="0.2">
      <c r="A41" s="3" t="s">
        <v>363</v>
      </c>
      <c r="B41">
        <v>0.9</v>
      </c>
      <c r="C41">
        <v>2.5499999999999998</v>
      </c>
    </row>
    <row r="42" spans="1:3" x14ac:dyDescent="0.2">
      <c r="A42" t="s">
        <v>378</v>
      </c>
    </row>
    <row r="43" spans="1:3" x14ac:dyDescent="0.2">
      <c r="A43" t="s">
        <v>382</v>
      </c>
      <c r="B43">
        <v>0.9</v>
      </c>
      <c r="C43">
        <v>2.5499999999999998</v>
      </c>
    </row>
    <row r="44" spans="1:3" x14ac:dyDescent="0.2">
      <c r="A44" t="s">
        <v>383</v>
      </c>
    </row>
    <row r="46" spans="1:3" x14ac:dyDescent="0.2">
      <c r="A46" t="s">
        <v>236</v>
      </c>
    </row>
    <row r="47" spans="1:3" x14ac:dyDescent="0.2">
      <c r="A47" s="3" t="s">
        <v>363</v>
      </c>
      <c r="B47">
        <v>0.7</v>
      </c>
      <c r="C47">
        <v>2.5499999999999998</v>
      </c>
    </row>
    <row r="48" spans="1:3" x14ac:dyDescent="0.2">
      <c r="A48" t="s">
        <v>384</v>
      </c>
      <c r="B48">
        <v>1.4</v>
      </c>
      <c r="C48">
        <v>2.5499999999999998</v>
      </c>
    </row>
    <row r="49" spans="1:3" x14ac:dyDescent="0.2">
      <c r="A49" t="s">
        <v>385</v>
      </c>
      <c r="B49">
        <v>0.9</v>
      </c>
      <c r="C49">
        <v>2.5499999999999998</v>
      </c>
    </row>
    <row r="50" spans="1:3" x14ac:dyDescent="0.2">
      <c r="A50" t="s">
        <v>299</v>
      </c>
      <c r="B50">
        <v>0.7</v>
      </c>
      <c r="C50">
        <v>2.5499999999999998</v>
      </c>
    </row>
    <row r="51" spans="1:3" x14ac:dyDescent="0.2">
      <c r="A51" s="3" t="s">
        <v>386</v>
      </c>
      <c r="B51">
        <v>0.7</v>
      </c>
      <c r="C51">
        <v>2.5499999999999998</v>
      </c>
    </row>
    <row r="52" spans="1:3" x14ac:dyDescent="0.2">
      <c r="A52" t="s">
        <v>351</v>
      </c>
      <c r="B52">
        <v>0.7</v>
      </c>
      <c r="C52">
        <v>2.5499999999999998</v>
      </c>
    </row>
    <row r="53" spans="1:3" x14ac:dyDescent="0.2">
      <c r="A53" t="s">
        <v>387</v>
      </c>
      <c r="B53">
        <v>1.4</v>
      </c>
      <c r="C53">
        <v>2.5499999999999998</v>
      </c>
    </row>
    <row r="54" spans="1:3" x14ac:dyDescent="0.2">
      <c r="A54" t="s">
        <v>388</v>
      </c>
      <c r="B54">
        <v>0.7</v>
      </c>
      <c r="C54">
        <v>2.5499999999999998</v>
      </c>
    </row>
    <row r="55" spans="1:3" x14ac:dyDescent="0.2">
      <c r="A55" s="3" t="s">
        <v>389</v>
      </c>
      <c r="B55">
        <v>0.7</v>
      </c>
      <c r="C55">
        <v>2.5499999999999998</v>
      </c>
    </row>
    <row r="56" spans="1:3" x14ac:dyDescent="0.2">
      <c r="A56" t="s">
        <v>390</v>
      </c>
      <c r="B56">
        <v>0.9</v>
      </c>
      <c r="C56">
        <v>2.5499999999999998</v>
      </c>
    </row>
    <row r="57" spans="1:3" x14ac:dyDescent="0.2">
      <c r="A57" t="s">
        <v>343</v>
      </c>
      <c r="B57">
        <v>0.9</v>
      </c>
      <c r="C57">
        <v>2.5499999999999998</v>
      </c>
    </row>
    <row r="58" spans="1:3" x14ac:dyDescent="0.2">
      <c r="A58" t="s">
        <v>344</v>
      </c>
      <c r="B58">
        <v>0.9</v>
      </c>
      <c r="C58">
        <v>2.5499999999999998</v>
      </c>
    </row>
    <row r="59" spans="1:3" x14ac:dyDescent="0.2">
      <c r="A59" t="s">
        <v>391</v>
      </c>
      <c r="B59">
        <v>0.9</v>
      </c>
      <c r="C59">
        <v>2.5499999999999998</v>
      </c>
    </row>
    <row r="60" spans="1:3" x14ac:dyDescent="0.2">
      <c r="A60" s="3" t="s">
        <v>392</v>
      </c>
      <c r="B60">
        <v>0.7</v>
      </c>
      <c r="C60">
        <v>2.5499999999999998</v>
      </c>
    </row>
    <row r="61" spans="1:3" x14ac:dyDescent="0.2">
      <c r="A61" t="s">
        <v>370</v>
      </c>
    </row>
    <row r="62" spans="1:3" x14ac:dyDescent="0.2">
      <c r="A62" t="s">
        <v>393</v>
      </c>
      <c r="B62">
        <v>0.9</v>
      </c>
      <c r="C62">
        <v>2.5499999999999998</v>
      </c>
    </row>
    <row r="63" spans="1:3" x14ac:dyDescent="0.2">
      <c r="A63" t="s">
        <v>364</v>
      </c>
    </row>
    <row r="64" spans="1:3" x14ac:dyDescent="0.2">
      <c r="A64" t="s">
        <v>399</v>
      </c>
      <c r="B64">
        <v>1.4</v>
      </c>
      <c r="C64">
        <v>2.5499999999999998</v>
      </c>
    </row>
    <row r="65" spans="1:3" x14ac:dyDescent="0.2">
      <c r="A65" t="s">
        <v>378</v>
      </c>
    </row>
    <row r="66" spans="1:3" x14ac:dyDescent="0.2">
      <c r="A66" t="s">
        <v>394</v>
      </c>
      <c r="B66">
        <v>1.4</v>
      </c>
      <c r="C66">
        <v>2.5499999999999998</v>
      </c>
    </row>
    <row r="67" spans="1:3" x14ac:dyDescent="0.2">
      <c r="A67" t="s">
        <v>394</v>
      </c>
      <c r="B67">
        <v>1.4</v>
      </c>
      <c r="C67">
        <v>2.5499999999999998</v>
      </c>
    </row>
    <row r="68" spans="1:3" x14ac:dyDescent="0.2">
      <c r="A68" t="s">
        <v>395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4B5A1-15CF-41CF-A4D4-9ACEDC05111A}">
  <sheetPr codeName="Hoja25"/>
  <dimension ref="A1:B5"/>
  <sheetViews>
    <sheetView workbookViewId="0">
      <selection activeCell="D578" sqref="D578"/>
    </sheetView>
  </sheetViews>
  <sheetFormatPr baseColWidth="10" defaultRowHeight="16" x14ac:dyDescent="0.2"/>
  <cols>
    <col min="1" max="1" width="23.33203125" bestFit="1" customWidth="1"/>
  </cols>
  <sheetData>
    <row r="1" spans="1:2" x14ac:dyDescent="0.2">
      <c r="A1" t="s">
        <v>531</v>
      </c>
      <c r="B1">
        <v>98.25</v>
      </c>
    </row>
    <row r="2" spans="1:2" x14ac:dyDescent="0.2">
      <c r="A2" t="s">
        <v>532</v>
      </c>
      <c r="B2">
        <f>1.4*11.24</f>
        <v>15.735999999999999</v>
      </c>
    </row>
    <row r="3" spans="1:2" x14ac:dyDescent="0.2">
      <c r="A3" t="s">
        <v>265</v>
      </c>
      <c r="B3" s="7">
        <f>SUM(B1:B2)</f>
        <v>113.986</v>
      </c>
    </row>
    <row r="5" spans="1:2" x14ac:dyDescent="0.2">
      <c r="A5" t="s">
        <v>533</v>
      </c>
      <c r="B5" s="7">
        <f>B3</f>
        <v>113.986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03086-65A6-4842-A14A-5D68C754AEF5}">
  <dimension ref="A1:F10"/>
  <sheetViews>
    <sheetView workbookViewId="0">
      <selection activeCell="B8" sqref="B8"/>
    </sheetView>
  </sheetViews>
  <sheetFormatPr baseColWidth="10" defaultRowHeight="16" x14ac:dyDescent="0.2"/>
  <cols>
    <col min="1" max="1" width="22.6640625" bestFit="1" customWidth="1"/>
    <col min="2" max="2" width="16.6640625" bestFit="1" customWidth="1"/>
    <col min="3" max="3" width="18.33203125" bestFit="1" customWidth="1"/>
    <col min="4" max="4" width="21.33203125" bestFit="1" customWidth="1"/>
    <col min="5" max="5" width="12.6640625" bestFit="1" customWidth="1"/>
  </cols>
  <sheetData>
    <row r="1" spans="1:6" x14ac:dyDescent="0.2">
      <c r="A1" t="s">
        <v>801</v>
      </c>
    </row>
    <row r="2" spans="1:6" x14ac:dyDescent="0.2">
      <c r="A2" t="s">
        <v>228</v>
      </c>
      <c r="B2">
        <v>15.67</v>
      </c>
    </row>
    <row r="5" spans="1:6" x14ac:dyDescent="0.2">
      <c r="A5" t="s">
        <v>326</v>
      </c>
      <c r="B5" t="s">
        <v>327</v>
      </c>
      <c r="C5" t="s">
        <v>331</v>
      </c>
      <c r="D5" t="s">
        <v>329</v>
      </c>
      <c r="E5" t="s">
        <v>328</v>
      </c>
      <c r="F5" t="s">
        <v>330</v>
      </c>
    </row>
    <row r="6" spans="1:6" x14ac:dyDescent="0.2">
      <c r="B6">
        <f>'CONTRAPISO 10CM'!B10</f>
        <v>0</v>
      </c>
      <c r="C6">
        <f>B2+B9</f>
        <v>66.64</v>
      </c>
      <c r="E6">
        <v>1.3390070921985813</v>
      </c>
      <c r="F6" s="7">
        <f>C6*E6</f>
        <v>89.231432624113452</v>
      </c>
    </row>
    <row r="8" spans="1:6" x14ac:dyDescent="0.2">
      <c r="C8" t="s">
        <v>803</v>
      </c>
      <c r="D8">
        <f>2.35*6</f>
        <v>14.100000000000001</v>
      </c>
      <c r="E8">
        <f>18.88/D8</f>
        <v>1.3390070921985813</v>
      </c>
    </row>
    <row r="9" spans="1:6" x14ac:dyDescent="0.2">
      <c r="A9" t="s">
        <v>802</v>
      </c>
      <c r="B9" s="7">
        <f>17.51+33.46</f>
        <v>50.97</v>
      </c>
    </row>
    <row r="10" spans="1:6" x14ac:dyDescent="0.2">
      <c r="A10" t="s">
        <v>804</v>
      </c>
      <c r="B10" s="7">
        <v>6.21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4E35-5EE5-4A83-B535-8C28317D3805}">
  <sheetPr codeName="Hoja26"/>
  <dimension ref="A1:I105"/>
  <sheetViews>
    <sheetView zoomScale="85" zoomScaleNormal="85" workbookViewId="0">
      <selection activeCell="D578" sqref="D578"/>
    </sheetView>
  </sheetViews>
  <sheetFormatPr baseColWidth="10" defaultRowHeight="16" x14ac:dyDescent="0.2"/>
  <cols>
    <col min="1" max="1" width="42.6640625" bestFit="1" customWidth="1"/>
    <col min="3" max="3" width="11" style="11"/>
    <col min="5" max="5" width="10.5" bestFit="1" customWidth="1"/>
    <col min="6" max="6" width="14.1640625" bestFit="1" customWidth="1"/>
  </cols>
  <sheetData>
    <row r="1" spans="1:9" x14ac:dyDescent="0.2">
      <c r="A1" s="3" t="s">
        <v>448</v>
      </c>
      <c r="B1" t="s">
        <v>311</v>
      </c>
      <c r="C1" s="11" t="s">
        <v>298</v>
      </c>
      <c r="D1" t="s">
        <v>443</v>
      </c>
      <c r="E1" t="s">
        <v>267</v>
      </c>
      <c r="F1" t="s">
        <v>465</v>
      </c>
    </row>
    <row r="2" spans="1:9" x14ac:dyDescent="0.2">
      <c r="A2" t="s">
        <v>442</v>
      </c>
      <c r="B2">
        <v>5.78</v>
      </c>
      <c r="C2" s="11">
        <v>3.15</v>
      </c>
      <c r="D2">
        <v>0.3</v>
      </c>
      <c r="E2" s="7">
        <f>B2*C2*D2</f>
        <v>5.4621000000000004</v>
      </c>
    </row>
    <row r="3" spans="1:9" x14ac:dyDescent="0.2">
      <c r="A3" t="s">
        <v>444</v>
      </c>
      <c r="B3">
        <f>4.18+0.6</f>
        <v>4.7799999999999994</v>
      </c>
      <c r="C3" s="11">
        <v>0.3</v>
      </c>
      <c r="D3">
        <v>3.1</v>
      </c>
      <c r="E3" s="13">
        <f>B3*C3*D3</f>
        <v>4.4453999999999994</v>
      </c>
      <c r="F3">
        <v>2</v>
      </c>
      <c r="G3" s="7">
        <f>E3*F3</f>
        <v>8.8907999999999987</v>
      </c>
    </row>
    <row r="4" spans="1:9" x14ac:dyDescent="0.2">
      <c r="A4" t="s">
        <v>445</v>
      </c>
      <c r="B4">
        <f>1.55+0.6</f>
        <v>2.15</v>
      </c>
      <c r="C4" s="11">
        <v>0.3</v>
      </c>
      <c r="D4">
        <v>3.1</v>
      </c>
      <c r="E4" s="13">
        <f>B4*C4*D4</f>
        <v>1.9994999999999998</v>
      </c>
      <c r="F4">
        <v>2</v>
      </c>
      <c r="G4" s="7">
        <f>E4*F4</f>
        <v>3.9989999999999997</v>
      </c>
    </row>
    <row r="5" spans="1:9" x14ac:dyDescent="0.2">
      <c r="A5" t="s">
        <v>446</v>
      </c>
      <c r="B5">
        <f>B3</f>
        <v>4.7799999999999994</v>
      </c>
      <c r="C5" s="11">
        <f>B4</f>
        <v>2.15</v>
      </c>
      <c r="E5" s="7">
        <f>B5*C5</f>
        <v>10.276999999999997</v>
      </c>
    </row>
    <row r="7" spans="1:9" x14ac:dyDescent="0.2">
      <c r="A7" t="s">
        <v>449</v>
      </c>
      <c r="B7" t="s">
        <v>5</v>
      </c>
    </row>
    <row r="8" spans="1:9" x14ac:dyDescent="0.2">
      <c r="A8" t="s">
        <v>450</v>
      </c>
      <c r="B8" s="7">
        <v>2</v>
      </c>
    </row>
    <row r="10" spans="1:9" x14ac:dyDescent="0.2">
      <c r="A10" t="s">
        <v>451</v>
      </c>
      <c r="B10">
        <v>0.85</v>
      </c>
      <c r="C10" s="11">
        <v>0.85</v>
      </c>
      <c r="E10" s="7">
        <f>B10*C10</f>
        <v>0.72249999999999992</v>
      </c>
    </row>
    <row r="11" spans="1:9" x14ac:dyDescent="0.2">
      <c r="A11" t="s">
        <v>452</v>
      </c>
      <c r="B11">
        <v>5.78</v>
      </c>
      <c r="C11" s="11">
        <v>3.15</v>
      </c>
      <c r="D11">
        <v>3.1</v>
      </c>
      <c r="E11" s="7">
        <f>B11*C11*D11</f>
        <v>56.441700000000004</v>
      </c>
    </row>
    <row r="12" spans="1:9" x14ac:dyDescent="0.2">
      <c r="A12" t="s">
        <v>453</v>
      </c>
      <c r="B12">
        <v>5.78</v>
      </c>
      <c r="C12" s="11">
        <v>3.15</v>
      </c>
      <c r="D12">
        <v>0.5</v>
      </c>
      <c r="E12" s="7">
        <f>B12*C12*D12</f>
        <v>9.1035000000000004</v>
      </c>
    </row>
    <row r="14" spans="1:9" x14ac:dyDescent="0.2">
      <c r="A14" t="s">
        <v>454</v>
      </c>
      <c r="B14" s="5" t="s">
        <v>456</v>
      </c>
      <c r="C14" s="12" t="s">
        <v>455</v>
      </c>
      <c r="D14" s="5" t="s">
        <v>459</v>
      </c>
      <c r="E14" s="5" t="s">
        <v>458</v>
      </c>
      <c r="F14" s="5" t="s">
        <v>460</v>
      </c>
      <c r="G14" s="5" t="s">
        <v>457</v>
      </c>
    </row>
    <row r="15" spans="1:9" x14ac:dyDescent="0.2">
      <c r="A15" t="s">
        <v>466</v>
      </c>
      <c r="B15">
        <f>D3</f>
        <v>3.1</v>
      </c>
      <c r="C15" s="11">
        <f>D3/0.15</f>
        <v>20.666666666666668</v>
      </c>
      <c r="D15">
        <v>0.56000000000000005</v>
      </c>
      <c r="E15" s="10">
        <v>5.1749999999999998</v>
      </c>
      <c r="F15">
        <v>2</v>
      </c>
      <c r="G15">
        <f>((E15*D15)*C15)*F15</f>
        <v>119.78400000000001</v>
      </c>
      <c r="H15">
        <v>2</v>
      </c>
      <c r="I15">
        <f>G15*H15</f>
        <v>239.56800000000001</v>
      </c>
    </row>
    <row r="16" spans="1:9" x14ac:dyDescent="0.2">
      <c r="A16" t="s">
        <v>467</v>
      </c>
      <c r="B16">
        <f>B3</f>
        <v>4.7799999999999994</v>
      </c>
      <c r="C16" s="11">
        <f>B16/0.15</f>
        <v>31.866666666666664</v>
      </c>
      <c r="D16">
        <v>1.552</v>
      </c>
      <c r="E16" s="10">
        <v>3.9380000000000002</v>
      </c>
      <c r="F16">
        <v>1</v>
      </c>
      <c r="G16">
        <f>((E16*D16)*C16)*F16</f>
        <v>194.76192853333333</v>
      </c>
      <c r="H16">
        <v>2</v>
      </c>
      <c r="I16">
        <f>G16*H16</f>
        <v>389.52385706666666</v>
      </c>
    </row>
    <row r="17" spans="1:9" x14ac:dyDescent="0.2">
      <c r="A17" t="s">
        <v>467</v>
      </c>
      <c r="B17">
        <f>B3</f>
        <v>4.7799999999999994</v>
      </c>
      <c r="C17" s="11">
        <f>B17/0.15</f>
        <v>31.866666666666664</v>
      </c>
      <c r="D17">
        <v>0.995</v>
      </c>
      <c r="E17" s="10">
        <v>3.726</v>
      </c>
      <c r="F17">
        <v>1</v>
      </c>
      <c r="G17">
        <f>((E17*D17)*C17)*F17</f>
        <v>118.14152399999999</v>
      </c>
      <c r="H17">
        <v>2</v>
      </c>
      <c r="I17">
        <f>G17*H17</f>
        <v>236.28304799999998</v>
      </c>
    </row>
    <row r="19" spans="1:9" x14ac:dyDescent="0.2">
      <c r="A19" t="s">
        <v>468</v>
      </c>
      <c r="B19">
        <f>D3</f>
        <v>3.1</v>
      </c>
      <c r="C19" s="11">
        <f>B19/0.15</f>
        <v>20.666666666666668</v>
      </c>
      <c r="D19">
        <v>0.56000000000000005</v>
      </c>
      <c r="E19" s="10">
        <v>2.5449999999999999</v>
      </c>
      <c r="F19">
        <v>2</v>
      </c>
      <c r="G19">
        <f>((E19*D19)*C19)*F19</f>
        <v>58.90826666666667</v>
      </c>
      <c r="H19">
        <v>2</v>
      </c>
      <c r="I19">
        <f>G19*H19</f>
        <v>117.81653333333334</v>
      </c>
    </row>
    <row r="20" spans="1:9" x14ac:dyDescent="0.2">
      <c r="A20" t="s">
        <v>469</v>
      </c>
      <c r="B20">
        <f>B4</f>
        <v>2.15</v>
      </c>
      <c r="C20" s="11">
        <f>B20/0.15</f>
        <v>14.333333333333334</v>
      </c>
      <c r="D20">
        <v>1.552</v>
      </c>
      <c r="E20" s="10">
        <v>3.9380000000000002</v>
      </c>
      <c r="F20">
        <v>1</v>
      </c>
      <c r="G20">
        <f>((E20*D20)*C20)*F20</f>
        <v>87.602122666666688</v>
      </c>
      <c r="H20">
        <v>2</v>
      </c>
      <c r="I20">
        <f>G20*H20</f>
        <v>175.20424533333338</v>
      </c>
    </row>
    <row r="21" spans="1:9" x14ac:dyDescent="0.2">
      <c r="A21" t="s">
        <v>469</v>
      </c>
      <c r="B21">
        <f>B4</f>
        <v>2.15</v>
      </c>
      <c r="C21" s="11">
        <f>B21/0.15</f>
        <v>14.333333333333334</v>
      </c>
      <c r="D21">
        <v>1.552</v>
      </c>
      <c r="E21" s="10">
        <v>3.726</v>
      </c>
      <c r="F21">
        <v>1</v>
      </c>
      <c r="G21">
        <f>((E21*D21)*C21)*F21</f>
        <v>82.886112000000011</v>
      </c>
      <c r="H21">
        <v>2</v>
      </c>
      <c r="I21">
        <f>G21*H21</f>
        <v>165.77222400000002</v>
      </c>
    </row>
    <row r="23" spans="1:9" x14ac:dyDescent="0.2">
      <c r="A23" t="s">
        <v>470</v>
      </c>
      <c r="B23">
        <f>B2</f>
        <v>5.78</v>
      </c>
      <c r="C23" s="11">
        <f>B23/0.15</f>
        <v>38.533333333333339</v>
      </c>
      <c r="D23">
        <v>0.56000000000000005</v>
      </c>
      <c r="E23" s="10">
        <v>3.7519999999999998</v>
      </c>
      <c r="F23">
        <v>1</v>
      </c>
      <c r="G23">
        <f>((E23*D23)*C23)*F23</f>
        <v>80.963157333333342</v>
      </c>
      <c r="H23">
        <v>1</v>
      </c>
      <c r="I23">
        <f>G23*H23</f>
        <v>80.963157333333342</v>
      </c>
    </row>
    <row r="24" spans="1:9" x14ac:dyDescent="0.2">
      <c r="B24">
        <f>B2</f>
        <v>5.78</v>
      </c>
      <c r="C24" s="11">
        <f>B24/0.15</f>
        <v>38.533333333333339</v>
      </c>
      <c r="D24">
        <v>0.995</v>
      </c>
      <c r="E24" s="10">
        <v>3.5419999999999998</v>
      </c>
      <c r="F24">
        <v>1</v>
      </c>
      <c r="G24">
        <f>((E24*D24)*C24)*F24</f>
        <v>135.80264133333333</v>
      </c>
      <c r="H24">
        <v>1</v>
      </c>
      <c r="I24">
        <f>G24*H24</f>
        <v>135.80264133333333</v>
      </c>
    </row>
    <row r="25" spans="1:9" x14ac:dyDescent="0.2">
      <c r="B25">
        <v>3.15</v>
      </c>
      <c r="C25" s="11">
        <f>B25/0.15</f>
        <v>21</v>
      </c>
      <c r="D25">
        <v>0.56000000000000005</v>
      </c>
      <c r="E25" s="10">
        <v>6.383</v>
      </c>
      <c r="F25">
        <v>1</v>
      </c>
      <c r="G25">
        <f>((E25*D25)*C25)*F25</f>
        <v>75.064080000000004</v>
      </c>
      <c r="H25">
        <v>1</v>
      </c>
      <c r="I25">
        <f>G25*H25</f>
        <v>75.064080000000004</v>
      </c>
    </row>
    <row r="26" spans="1:9" x14ac:dyDescent="0.2">
      <c r="B26">
        <v>3.15</v>
      </c>
      <c r="C26" s="11">
        <f>B26/0.15</f>
        <v>21</v>
      </c>
      <c r="D26">
        <v>0.995</v>
      </c>
      <c r="E26" s="10">
        <v>6.173</v>
      </c>
      <c r="F26">
        <v>1</v>
      </c>
      <c r="G26">
        <f>((E26*D26)*C26)*F26</f>
        <v>128.984835</v>
      </c>
      <c r="H26">
        <v>1</v>
      </c>
      <c r="I26">
        <f>G26*H26</f>
        <v>128.984835</v>
      </c>
    </row>
    <row r="28" spans="1:9" x14ac:dyDescent="0.2">
      <c r="A28" t="s">
        <v>446</v>
      </c>
      <c r="B28">
        <f>B5</f>
        <v>4.7799999999999994</v>
      </c>
      <c r="C28" s="11">
        <f>B28/0.15</f>
        <v>31.866666666666664</v>
      </c>
      <c r="D28">
        <v>0.995</v>
      </c>
      <c r="E28" s="10">
        <v>2.5449999999999999</v>
      </c>
      <c r="F28">
        <v>2</v>
      </c>
      <c r="G28">
        <f>((E28*D28)*C28)*F28</f>
        <v>161.39032666666665</v>
      </c>
      <c r="H28">
        <v>1</v>
      </c>
      <c r="I28">
        <f>G28*H28</f>
        <v>161.39032666666665</v>
      </c>
    </row>
    <row r="29" spans="1:9" x14ac:dyDescent="0.2">
      <c r="B29">
        <f>B4</f>
        <v>2.15</v>
      </c>
      <c r="C29" s="11">
        <f>B29/0.15</f>
        <v>14.333333333333334</v>
      </c>
      <c r="D29">
        <v>0.995</v>
      </c>
      <c r="E29" s="10">
        <v>5.1749999999999998</v>
      </c>
      <c r="F29">
        <v>2</v>
      </c>
      <c r="G29">
        <f>((E29*D29)*C29)*F29</f>
        <v>147.60825</v>
      </c>
      <c r="H29">
        <v>1</v>
      </c>
      <c r="I29">
        <f>G29*H29</f>
        <v>147.60825</v>
      </c>
    </row>
    <row r="30" spans="1:9" x14ac:dyDescent="0.2">
      <c r="G30" s="7"/>
      <c r="H30" t="s">
        <v>265</v>
      </c>
      <c r="I30" s="7">
        <f>SUM(I15:I29)</f>
        <v>2053.9811980666668</v>
      </c>
    </row>
    <row r="32" spans="1:9" x14ac:dyDescent="0.2">
      <c r="A32" t="s">
        <v>461</v>
      </c>
      <c r="B32">
        <f>B3*2+B4*2</f>
        <v>13.86</v>
      </c>
    </row>
    <row r="33" spans="1:7" x14ac:dyDescent="0.2">
      <c r="B33">
        <f>2.3*2</f>
        <v>4.5999999999999996</v>
      </c>
    </row>
    <row r="34" spans="1:7" x14ac:dyDescent="0.2">
      <c r="A34" t="s">
        <v>267</v>
      </c>
      <c r="B34" s="7">
        <f>SUM(B32:B33)</f>
        <v>18.46</v>
      </c>
    </row>
    <row r="37" spans="1:7" x14ac:dyDescent="0.2">
      <c r="A37" s="3" t="s">
        <v>463</v>
      </c>
      <c r="B37" t="s">
        <v>311</v>
      </c>
      <c r="C37" s="11" t="s">
        <v>298</v>
      </c>
      <c r="D37" t="s">
        <v>443</v>
      </c>
      <c r="E37" t="s">
        <v>267</v>
      </c>
    </row>
    <row r="38" spans="1:7" x14ac:dyDescent="0.2">
      <c r="A38" t="s">
        <v>442</v>
      </c>
      <c r="B38">
        <v>4.88</v>
      </c>
      <c r="C38" s="11">
        <v>3.15</v>
      </c>
      <c r="D38">
        <v>0.3</v>
      </c>
      <c r="E38" s="7">
        <f>B38*C38*D38</f>
        <v>4.6116000000000001</v>
      </c>
    </row>
    <row r="39" spans="1:7" x14ac:dyDescent="0.2">
      <c r="A39" t="s">
        <v>444</v>
      </c>
      <c r="B39">
        <f>3.28+0.6</f>
        <v>3.88</v>
      </c>
      <c r="C39" s="11">
        <v>0.3</v>
      </c>
      <c r="D39">
        <v>3.1</v>
      </c>
      <c r="E39" s="7">
        <f>B39*C39*D39</f>
        <v>3.6084000000000001</v>
      </c>
      <c r="F39">
        <v>2</v>
      </c>
      <c r="G39" s="7">
        <f>E39*F39</f>
        <v>7.2168000000000001</v>
      </c>
    </row>
    <row r="40" spans="1:7" x14ac:dyDescent="0.2">
      <c r="A40" t="s">
        <v>445</v>
      </c>
      <c r="B40">
        <f>1.55+0.6</f>
        <v>2.15</v>
      </c>
      <c r="C40" s="11">
        <v>0.3</v>
      </c>
      <c r="D40">
        <v>3.1</v>
      </c>
      <c r="E40" s="7">
        <f>B40*C40*D40</f>
        <v>1.9994999999999998</v>
      </c>
      <c r="F40">
        <v>2</v>
      </c>
      <c r="G40" s="7">
        <f>E40*F40</f>
        <v>3.9989999999999997</v>
      </c>
    </row>
    <row r="41" spans="1:7" x14ac:dyDescent="0.2">
      <c r="A41" t="s">
        <v>446</v>
      </c>
      <c r="B41">
        <f>B39</f>
        <v>3.88</v>
      </c>
      <c r="C41" s="11">
        <f>B40</f>
        <v>2.15</v>
      </c>
      <c r="E41" s="7">
        <f>B41*C41</f>
        <v>8.3419999999999987</v>
      </c>
    </row>
    <row r="43" spans="1:7" x14ac:dyDescent="0.2">
      <c r="A43" t="s">
        <v>449</v>
      </c>
      <c r="B43" t="s">
        <v>5</v>
      </c>
    </row>
    <row r="44" spans="1:7" x14ac:dyDescent="0.2">
      <c r="A44" t="s">
        <v>450</v>
      </c>
      <c r="B44" s="7">
        <v>2</v>
      </c>
    </row>
    <row r="46" spans="1:7" x14ac:dyDescent="0.2">
      <c r="A46" t="s">
        <v>451</v>
      </c>
      <c r="B46">
        <v>0.85</v>
      </c>
      <c r="C46" s="11">
        <v>0.85</v>
      </c>
      <c r="E46" s="7">
        <f>B46*C46</f>
        <v>0.72249999999999992</v>
      </c>
    </row>
    <row r="47" spans="1:7" x14ac:dyDescent="0.2">
      <c r="A47" t="s">
        <v>452</v>
      </c>
      <c r="B47">
        <v>4.88</v>
      </c>
      <c r="C47" s="11">
        <v>3.15</v>
      </c>
      <c r="D47">
        <v>3.1</v>
      </c>
      <c r="E47" s="7">
        <f>B47*C47*D47</f>
        <v>47.653199999999998</v>
      </c>
    </row>
    <row r="48" spans="1:7" x14ac:dyDescent="0.2">
      <c r="A48" t="s">
        <v>453</v>
      </c>
      <c r="B48">
        <v>4.88</v>
      </c>
      <c r="C48" s="11">
        <v>3.15</v>
      </c>
      <c r="D48">
        <v>0.5</v>
      </c>
      <c r="E48" s="7">
        <f>B48*C48*D48</f>
        <v>7.6859999999999999</v>
      </c>
    </row>
    <row r="50" spans="1:9" x14ac:dyDescent="0.2">
      <c r="A50" t="s">
        <v>454</v>
      </c>
      <c r="B50" s="5" t="s">
        <v>456</v>
      </c>
      <c r="C50" s="12" t="s">
        <v>455</v>
      </c>
      <c r="D50" s="5" t="s">
        <v>459</v>
      </c>
      <c r="E50" s="5" t="s">
        <v>458</v>
      </c>
      <c r="F50" s="5" t="s">
        <v>460</v>
      </c>
      <c r="G50" s="5" t="s">
        <v>457</v>
      </c>
      <c r="H50" s="5" t="s">
        <v>465</v>
      </c>
      <c r="I50" s="5" t="s">
        <v>267</v>
      </c>
    </row>
    <row r="51" spans="1:9" x14ac:dyDescent="0.2">
      <c r="A51" t="s">
        <v>466</v>
      </c>
      <c r="B51">
        <f>D39</f>
        <v>3.1</v>
      </c>
      <c r="C51" s="11">
        <f>D39/0.15</f>
        <v>20.666666666666668</v>
      </c>
      <c r="D51">
        <v>0.56000000000000005</v>
      </c>
      <c r="E51" s="10">
        <v>3.718</v>
      </c>
      <c r="F51">
        <v>2</v>
      </c>
      <c r="G51">
        <f>((E51*D51)*C51)*F51</f>
        <v>86.059306666666686</v>
      </c>
      <c r="H51">
        <v>2</v>
      </c>
      <c r="I51">
        <f>G51*H51</f>
        <v>172.11861333333337</v>
      </c>
    </row>
    <row r="52" spans="1:9" x14ac:dyDescent="0.2">
      <c r="A52" t="s">
        <v>467</v>
      </c>
      <c r="B52">
        <v>3.88</v>
      </c>
      <c r="C52" s="11">
        <f>B52/0.15</f>
        <v>25.866666666666667</v>
      </c>
      <c r="D52">
        <v>1.552</v>
      </c>
      <c r="E52" s="10">
        <v>3.726</v>
      </c>
      <c r="F52">
        <v>1</v>
      </c>
      <c r="G52">
        <f>((E52*D52)*C52)*F52</f>
        <v>149.58051840000002</v>
      </c>
      <c r="H52">
        <v>2</v>
      </c>
      <c r="I52">
        <f>G52*H52</f>
        <v>299.16103680000003</v>
      </c>
    </row>
    <row r="53" spans="1:9" x14ac:dyDescent="0.2">
      <c r="A53" t="s">
        <v>467</v>
      </c>
      <c r="B53">
        <v>3.88</v>
      </c>
      <c r="C53" s="11">
        <f>B53/0.15</f>
        <v>25.866666666666667</v>
      </c>
      <c r="D53">
        <v>0.995</v>
      </c>
      <c r="E53" s="10">
        <v>3.9329999999999998</v>
      </c>
      <c r="F53">
        <v>1</v>
      </c>
      <c r="G53">
        <f>((E53*D53)*C53)*F53</f>
        <v>101.224932</v>
      </c>
      <c r="H53">
        <v>2</v>
      </c>
      <c r="I53">
        <f>G53*H53</f>
        <v>202.44986399999999</v>
      </c>
    </row>
    <row r="55" spans="1:9" x14ac:dyDescent="0.2">
      <c r="A55" t="s">
        <v>468</v>
      </c>
      <c r="B55">
        <f>D39</f>
        <v>3.1</v>
      </c>
      <c r="C55" s="11">
        <f>B55/0.15</f>
        <v>20.666666666666668</v>
      </c>
      <c r="D55">
        <v>0.56000000000000005</v>
      </c>
      <c r="E55" s="10">
        <v>2.5449999999999999</v>
      </c>
      <c r="F55">
        <v>2</v>
      </c>
      <c r="G55">
        <f>((E55*D55)*C55)*F55</f>
        <v>58.90826666666667</v>
      </c>
      <c r="H55">
        <v>2</v>
      </c>
      <c r="I55">
        <f>G55*H55</f>
        <v>117.81653333333334</v>
      </c>
    </row>
    <row r="56" spans="1:9" x14ac:dyDescent="0.2">
      <c r="A56" t="s">
        <v>469</v>
      </c>
      <c r="B56">
        <f>B40</f>
        <v>2.15</v>
      </c>
      <c r="C56" s="11">
        <f>B56/0.15</f>
        <v>14.333333333333334</v>
      </c>
      <c r="D56">
        <v>1.552</v>
      </c>
      <c r="E56" s="10">
        <v>3.726</v>
      </c>
      <c r="F56">
        <v>1</v>
      </c>
      <c r="G56">
        <f>((E56*D56)*C56)*F56</f>
        <v>82.886112000000011</v>
      </c>
      <c r="H56">
        <v>2</v>
      </c>
      <c r="I56">
        <f>G56*H56</f>
        <v>165.77222400000002</v>
      </c>
    </row>
    <row r="57" spans="1:9" x14ac:dyDescent="0.2">
      <c r="A57" t="s">
        <v>469</v>
      </c>
      <c r="B57">
        <f>B40</f>
        <v>2.15</v>
      </c>
      <c r="C57" s="11">
        <f>B57/0.15</f>
        <v>14.333333333333334</v>
      </c>
      <c r="D57">
        <v>0.995</v>
      </c>
      <c r="E57" s="10">
        <v>3.9329999999999998</v>
      </c>
      <c r="F57">
        <v>1</v>
      </c>
      <c r="G57">
        <f>((E57*D57)*C57)*F57</f>
        <v>56.091135000000001</v>
      </c>
      <c r="H57">
        <v>2</v>
      </c>
      <c r="I57">
        <f>G57*H57</f>
        <v>112.18227</v>
      </c>
    </row>
    <row r="59" spans="1:9" x14ac:dyDescent="0.2">
      <c r="A59" t="s">
        <v>470</v>
      </c>
      <c r="B59">
        <v>4.88</v>
      </c>
      <c r="C59" s="11">
        <f>B59/0.15</f>
        <v>32.533333333333331</v>
      </c>
      <c r="D59">
        <v>0.995</v>
      </c>
      <c r="E59" s="10">
        <v>3.5419999999999998</v>
      </c>
      <c r="F59">
        <v>1</v>
      </c>
      <c r="G59">
        <f>((E59*D59)*C59)*F59</f>
        <v>114.65690133333332</v>
      </c>
      <c r="H59">
        <v>1</v>
      </c>
      <c r="I59">
        <f>G59*H59</f>
        <v>114.65690133333332</v>
      </c>
    </row>
    <row r="60" spans="1:9" x14ac:dyDescent="0.2">
      <c r="B60">
        <v>4.88</v>
      </c>
      <c r="C60" s="11">
        <f>B60/0.15</f>
        <v>32.533333333333331</v>
      </c>
      <c r="D60">
        <v>0.56000000000000005</v>
      </c>
      <c r="E60" s="10">
        <v>3.7519999999999998</v>
      </c>
      <c r="F60">
        <v>1</v>
      </c>
      <c r="G60">
        <f>((E60*D60)*C60)*F60</f>
        <v>68.356437333333332</v>
      </c>
      <c r="H60">
        <v>1</v>
      </c>
      <c r="I60">
        <f>G60*H60</f>
        <v>68.356437333333332</v>
      </c>
    </row>
    <row r="61" spans="1:9" x14ac:dyDescent="0.2">
      <c r="B61">
        <v>3.15</v>
      </c>
      <c r="C61" s="11">
        <f>B61/0.15</f>
        <v>21</v>
      </c>
      <c r="D61">
        <v>0.56000000000000005</v>
      </c>
      <c r="E61" s="10">
        <v>6.383</v>
      </c>
      <c r="F61">
        <v>1</v>
      </c>
      <c r="G61">
        <f>((E61*D61)*C61)*F61</f>
        <v>75.064080000000004</v>
      </c>
      <c r="H61">
        <v>1</v>
      </c>
      <c r="I61">
        <f>G61*H61</f>
        <v>75.064080000000004</v>
      </c>
    </row>
    <row r="62" spans="1:9" x14ac:dyDescent="0.2">
      <c r="B62">
        <v>3.15</v>
      </c>
      <c r="C62" s="11">
        <f>B62/0.15</f>
        <v>21</v>
      </c>
      <c r="D62">
        <v>0.995</v>
      </c>
      <c r="E62" s="10">
        <v>6.173</v>
      </c>
      <c r="F62">
        <v>1</v>
      </c>
      <c r="G62">
        <f>((E62*D62)*C62)*F62</f>
        <v>128.984835</v>
      </c>
      <c r="H62">
        <v>1</v>
      </c>
      <c r="I62">
        <f>G62*H62</f>
        <v>128.984835</v>
      </c>
    </row>
    <row r="64" spans="1:9" x14ac:dyDescent="0.2">
      <c r="A64" t="s">
        <v>446</v>
      </c>
      <c r="B64">
        <f>B39</f>
        <v>3.88</v>
      </c>
      <c r="C64" s="11">
        <f>B64/0.15</f>
        <v>25.866666666666667</v>
      </c>
      <c r="D64">
        <v>0.995</v>
      </c>
      <c r="E64" s="10">
        <v>2.5449999999999999</v>
      </c>
      <c r="F64">
        <v>2</v>
      </c>
      <c r="G64">
        <f>((E64*D64)*C64)*F64</f>
        <v>131.00302666666667</v>
      </c>
      <c r="H64">
        <v>1</v>
      </c>
      <c r="I64">
        <f>G64*H64</f>
        <v>131.00302666666667</v>
      </c>
    </row>
    <row r="65" spans="1:9" x14ac:dyDescent="0.2">
      <c r="B65">
        <f>B40</f>
        <v>2.15</v>
      </c>
      <c r="C65" s="11">
        <f>B65/0.15</f>
        <v>14.333333333333334</v>
      </c>
      <c r="D65">
        <v>0.995</v>
      </c>
      <c r="E65" s="10">
        <v>5.1749999999999998</v>
      </c>
      <c r="F65">
        <v>2</v>
      </c>
      <c r="G65">
        <f>((E65*D65)*C65)*F65</f>
        <v>147.60825</v>
      </c>
      <c r="H65">
        <v>1</v>
      </c>
      <c r="I65">
        <f>G65*H65</f>
        <v>147.60825</v>
      </c>
    </row>
    <row r="66" spans="1:9" x14ac:dyDescent="0.2">
      <c r="G66" s="7"/>
      <c r="H66" t="s">
        <v>265</v>
      </c>
      <c r="I66" s="7">
        <f>SUM(I51:I65)</f>
        <v>1735.1740718000003</v>
      </c>
    </row>
    <row r="67" spans="1:9" x14ac:dyDescent="0.2">
      <c r="A67" t="s">
        <v>461</v>
      </c>
      <c r="B67">
        <f>B39*2+B40*2</f>
        <v>12.059999999999999</v>
      </c>
    </row>
    <row r="68" spans="1:9" x14ac:dyDescent="0.2">
      <c r="B68">
        <f>2.3*2</f>
        <v>4.5999999999999996</v>
      </c>
    </row>
    <row r="69" spans="1:9" x14ac:dyDescent="0.2">
      <c r="A69" t="s">
        <v>267</v>
      </c>
      <c r="B69" s="7">
        <f>SUM(B67:B68)</f>
        <v>16.659999999999997</v>
      </c>
    </row>
    <row r="73" spans="1:9" x14ac:dyDescent="0.2">
      <c r="A73" s="3" t="s">
        <v>472</v>
      </c>
      <c r="B73" t="s">
        <v>311</v>
      </c>
      <c r="C73" s="11" t="s">
        <v>298</v>
      </c>
      <c r="D73" t="s">
        <v>443</v>
      </c>
      <c r="E73" t="s">
        <v>267</v>
      </c>
    </row>
    <row r="74" spans="1:9" x14ac:dyDescent="0.2">
      <c r="A74" t="s">
        <v>442</v>
      </c>
      <c r="B74">
        <v>6.85</v>
      </c>
      <c r="C74" s="11">
        <f>6.15+0.6</f>
        <v>6.75</v>
      </c>
      <c r="D74">
        <v>0.3</v>
      </c>
      <c r="E74" s="7">
        <f>B74*C74*D74</f>
        <v>13.871249999999998</v>
      </c>
    </row>
    <row r="75" spans="1:9" x14ac:dyDescent="0.2">
      <c r="A75" t="s">
        <v>444</v>
      </c>
      <c r="B75">
        <f>0.3+2.95+0.3+2+0.3</f>
        <v>5.85</v>
      </c>
      <c r="C75" s="11">
        <v>0.3</v>
      </c>
      <c r="D75">
        <v>3.1</v>
      </c>
      <c r="E75" s="7">
        <f>B75*C75*D75</f>
        <v>5.4405000000000001</v>
      </c>
      <c r="F75">
        <v>2</v>
      </c>
      <c r="G75" s="7">
        <f>E75*F75</f>
        <v>10.881</v>
      </c>
    </row>
    <row r="76" spans="1:9" x14ac:dyDescent="0.2">
      <c r="A76" t="s">
        <v>445</v>
      </c>
      <c r="B76">
        <f>4.85+0.6</f>
        <v>5.4499999999999993</v>
      </c>
      <c r="C76" s="11">
        <v>0.3</v>
      </c>
      <c r="D76">
        <v>3.1</v>
      </c>
      <c r="E76" s="7">
        <f>B76*C76*D76</f>
        <v>5.0684999999999993</v>
      </c>
      <c r="F76">
        <v>3</v>
      </c>
      <c r="G76" s="7">
        <f>E76*F76</f>
        <v>15.205499999999997</v>
      </c>
    </row>
    <row r="77" spans="1:9" x14ac:dyDescent="0.2">
      <c r="A77" t="s">
        <v>446</v>
      </c>
      <c r="B77">
        <f>B75</f>
        <v>5.85</v>
      </c>
      <c r="C77" s="11">
        <f>B76</f>
        <v>5.4499999999999993</v>
      </c>
      <c r="E77" s="7">
        <f>B77*C77</f>
        <v>31.882499999999993</v>
      </c>
    </row>
    <row r="79" spans="1:9" x14ac:dyDescent="0.2">
      <c r="A79" t="s">
        <v>449</v>
      </c>
      <c r="B79" t="s">
        <v>5</v>
      </c>
    </row>
    <row r="80" spans="1:9" x14ac:dyDescent="0.2">
      <c r="A80" t="s">
        <v>450</v>
      </c>
      <c r="B80" s="7">
        <v>2</v>
      </c>
    </row>
    <row r="82" spans="1:9" x14ac:dyDescent="0.2">
      <c r="A82" t="s">
        <v>451</v>
      </c>
      <c r="B82">
        <v>0.85</v>
      </c>
      <c r="C82" s="11">
        <v>0.85</v>
      </c>
      <c r="D82">
        <v>2</v>
      </c>
      <c r="E82" s="7">
        <f>(B82*C82)*D82</f>
        <v>1.4449999999999998</v>
      </c>
    </row>
    <row r="83" spans="1:9" x14ac:dyDescent="0.2">
      <c r="A83" t="s">
        <v>452</v>
      </c>
      <c r="B83">
        <f>B74</f>
        <v>6.85</v>
      </c>
      <c r="C83" s="11">
        <f>C74</f>
        <v>6.75</v>
      </c>
      <c r="D83">
        <v>3.1</v>
      </c>
      <c r="E83" s="7">
        <f>B83*C83*D83</f>
        <v>143.33625000000001</v>
      </c>
    </row>
    <row r="84" spans="1:9" x14ac:dyDescent="0.2">
      <c r="A84" t="s">
        <v>453</v>
      </c>
      <c r="B84">
        <f>B74</f>
        <v>6.85</v>
      </c>
      <c r="C84" s="11">
        <f>C74</f>
        <v>6.75</v>
      </c>
      <c r="D84">
        <v>0.5</v>
      </c>
      <c r="E84" s="7">
        <f>B84*C84*D84</f>
        <v>23.118749999999999</v>
      </c>
    </row>
    <row r="86" spans="1:9" x14ac:dyDescent="0.2">
      <c r="A86" t="s">
        <v>454</v>
      </c>
      <c r="B86" s="5" t="s">
        <v>456</v>
      </c>
      <c r="C86" s="12" t="s">
        <v>455</v>
      </c>
      <c r="D86" s="5" t="s">
        <v>459</v>
      </c>
      <c r="E86" s="5" t="s">
        <v>458</v>
      </c>
      <c r="F86" s="5" t="s">
        <v>460</v>
      </c>
      <c r="G86" s="5" t="s">
        <v>457</v>
      </c>
      <c r="H86" s="5" t="s">
        <v>465</v>
      </c>
      <c r="I86" s="5" t="s">
        <v>267</v>
      </c>
    </row>
    <row r="87" spans="1:9" x14ac:dyDescent="0.2">
      <c r="A87" t="s">
        <v>466</v>
      </c>
      <c r="B87">
        <f>D75</f>
        <v>3.1</v>
      </c>
      <c r="C87" s="11">
        <f>D75/0.15</f>
        <v>20.666666666666668</v>
      </c>
      <c r="D87">
        <v>0.56000000000000005</v>
      </c>
      <c r="E87" s="10">
        <f>5.54+0.6</f>
        <v>6.14</v>
      </c>
      <c r="F87">
        <v>2</v>
      </c>
      <c r="G87">
        <f>((E87*D87)*C87)*F87</f>
        <v>142.12053333333336</v>
      </c>
      <c r="H87">
        <v>3</v>
      </c>
      <c r="I87">
        <f>G87*H87</f>
        <v>426.36160000000007</v>
      </c>
    </row>
    <row r="88" spans="1:9" x14ac:dyDescent="0.2">
      <c r="A88" t="s">
        <v>467</v>
      </c>
      <c r="B88">
        <v>5.45</v>
      </c>
      <c r="C88" s="11">
        <f>B88/0.15</f>
        <v>36.333333333333336</v>
      </c>
      <c r="D88">
        <v>1.552</v>
      </c>
      <c r="E88" s="10">
        <v>3.7229999999999999</v>
      </c>
      <c r="F88">
        <v>1</v>
      </c>
      <c r="G88">
        <f>((E88*D88)*C88)*F88</f>
        <v>209.937488</v>
      </c>
      <c r="H88">
        <v>3</v>
      </c>
      <c r="I88">
        <f>G88*H88</f>
        <v>629.81246399999998</v>
      </c>
    </row>
    <row r="89" spans="1:9" x14ac:dyDescent="0.2">
      <c r="A89" t="s">
        <v>467</v>
      </c>
      <c r="B89">
        <v>5.45</v>
      </c>
      <c r="C89" s="11">
        <f>B89/0.15</f>
        <v>36.333333333333336</v>
      </c>
      <c r="D89">
        <v>0.995</v>
      </c>
      <c r="E89" s="10">
        <v>3.9350000000000001</v>
      </c>
      <c r="F89">
        <v>1</v>
      </c>
      <c r="G89">
        <f>((E89*D89)*C89)*F89</f>
        <v>142.25680833333334</v>
      </c>
      <c r="H89">
        <v>3</v>
      </c>
      <c r="I89">
        <f>G89*H89</f>
        <v>426.77042500000005</v>
      </c>
    </row>
    <row r="91" spans="1:9" x14ac:dyDescent="0.2">
      <c r="A91" t="s">
        <v>468</v>
      </c>
      <c r="B91">
        <f>D75</f>
        <v>3.1</v>
      </c>
      <c r="C91" s="11">
        <f>B91/0.15</f>
        <v>20.666666666666668</v>
      </c>
      <c r="D91">
        <v>0.56000000000000005</v>
      </c>
      <c r="E91" s="10">
        <v>6.2450000000000001</v>
      </c>
      <c r="F91">
        <v>2</v>
      </c>
      <c r="G91">
        <f>((E91*D91)*C91)*F91</f>
        <v>144.55093333333335</v>
      </c>
      <c r="H91">
        <v>2</v>
      </c>
      <c r="I91">
        <f>G91*H91</f>
        <v>289.10186666666669</v>
      </c>
    </row>
    <row r="92" spans="1:9" x14ac:dyDescent="0.2">
      <c r="A92" t="s">
        <v>469</v>
      </c>
      <c r="B92">
        <f>B76</f>
        <v>5.4499999999999993</v>
      </c>
      <c r="C92" s="11">
        <f>B92/0.15</f>
        <v>36.333333333333329</v>
      </c>
      <c r="D92">
        <v>1.552</v>
      </c>
      <c r="E92" s="10">
        <v>3.726</v>
      </c>
      <c r="F92">
        <v>1</v>
      </c>
      <c r="G92">
        <f>((E92*D92)*C92)*F92</f>
        <v>210.10665599999999</v>
      </c>
      <c r="H92">
        <v>2</v>
      </c>
      <c r="I92">
        <f>G92*H92</f>
        <v>420.21331199999997</v>
      </c>
    </row>
    <row r="93" spans="1:9" x14ac:dyDescent="0.2">
      <c r="A93" t="s">
        <v>469</v>
      </c>
      <c r="B93">
        <f>B76</f>
        <v>5.4499999999999993</v>
      </c>
      <c r="C93" s="11">
        <f>B93/0.15</f>
        <v>36.333333333333329</v>
      </c>
      <c r="D93">
        <v>0.995</v>
      </c>
      <c r="E93" s="10">
        <v>3.9380000000000002</v>
      </c>
      <c r="F93">
        <v>1</v>
      </c>
      <c r="G93">
        <f>((E93*D93)*C93)*F93</f>
        <v>142.3652633333333</v>
      </c>
      <c r="H93">
        <v>2</v>
      </c>
      <c r="I93">
        <f>G93*H93</f>
        <v>284.73052666666661</v>
      </c>
    </row>
    <row r="95" spans="1:9" x14ac:dyDescent="0.2">
      <c r="A95" t="s">
        <v>470</v>
      </c>
      <c r="B95">
        <v>6.85</v>
      </c>
      <c r="C95" s="11">
        <f>B95/0.15</f>
        <v>45.666666666666664</v>
      </c>
      <c r="D95">
        <v>0.995</v>
      </c>
      <c r="E95" s="10">
        <f>6.752+0.6</f>
        <v>7.3519999999999994</v>
      </c>
      <c r="F95">
        <v>1</v>
      </c>
      <c r="G95">
        <f>((E95*D95)*C95)*F95</f>
        <v>334.06262666666663</v>
      </c>
      <c r="H95">
        <v>1</v>
      </c>
      <c r="I95">
        <f>G95*H95</f>
        <v>334.06262666666663</v>
      </c>
    </row>
    <row r="96" spans="1:9" x14ac:dyDescent="0.2">
      <c r="B96">
        <v>6.85</v>
      </c>
      <c r="C96" s="11">
        <f>B96/0.15</f>
        <v>45.666666666666664</v>
      </c>
      <c r="D96">
        <v>0.56000000000000005</v>
      </c>
      <c r="E96" s="10">
        <f>6.542+0.6</f>
        <v>7.1419999999999995</v>
      </c>
      <c r="F96">
        <v>1</v>
      </c>
      <c r="G96">
        <f>((E96*D96)*C96)*F96</f>
        <v>182.64474666666666</v>
      </c>
      <c r="H96">
        <v>1</v>
      </c>
      <c r="I96">
        <f>G96*H96</f>
        <v>182.64474666666666</v>
      </c>
    </row>
    <row r="97" spans="1:9" x14ac:dyDescent="0.2">
      <c r="B97">
        <v>6.75</v>
      </c>
      <c r="C97" s="11">
        <f>B97/0.15</f>
        <v>45</v>
      </c>
      <c r="D97">
        <v>0.56000000000000005</v>
      </c>
      <c r="E97" s="10">
        <v>7.45</v>
      </c>
      <c r="F97">
        <v>1</v>
      </c>
      <c r="G97">
        <f>((E97*D97)*C97)*F97</f>
        <v>187.74000000000004</v>
      </c>
      <c r="H97">
        <v>1</v>
      </c>
      <c r="I97">
        <f>G97*H97</f>
        <v>187.74000000000004</v>
      </c>
    </row>
    <row r="98" spans="1:9" x14ac:dyDescent="0.2">
      <c r="B98">
        <v>6.75</v>
      </c>
      <c r="C98" s="11">
        <f>B98/0.15</f>
        <v>45</v>
      </c>
      <c r="D98">
        <v>0.995</v>
      </c>
      <c r="E98" s="10">
        <v>7.24</v>
      </c>
      <c r="F98">
        <v>1</v>
      </c>
      <c r="G98">
        <f>((E98*D98)*C98)*F98</f>
        <v>324.17099999999999</v>
      </c>
      <c r="H98">
        <v>1</v>
      </c>
      <c r="I98">
        <f>G98*H98</f>
        <v>324.17099999999999</v>
      </c>
    </row>
    <row r="100" spans="1:9" x14ac:dyDescent="0.2">
      <c r="A100" t="s">
        <v>446</v>
      </c>
      <c r="B100">
        <v>6.85</v>
      </c>
      <c r="C100" s="11">
        <f>B100/0.15</f>
        <v>45.666666666666664</v>
      </c>
      <c r="D100">
        <v>0.995</v>
      </c>
      <c r="E100" s="10">
        <v>6.2450000000000001</v>
      </c>
      <c r="F100">
        <v>2</v>
      </c>
      <c r="G100">
        <f>((E100*D100)*C100)*F100</f>
        <v>567.52478333333329</v>
      </c>
      <c r="H100">
        <v>1</v>
      </c>
      <c r="I100">
        <f>G100*H100</f>
        <v>567.52478333333329</v>
      </c>
    </row>
    <row r="101" spans="1:9" x14ac:dyDescent="0.2">
      <c r="B101">
        <v>6.75</v>
      </c>
      <c r="C101" s="11">
        <f>B101/0.15</f>
        <v>45</v>
      </c>
      <c r="D101">
        <v>0.995</v>
      </c>
      <c r="E101" s="10">
        <v>6.2450000000000001</v>
      </c>
      <c r="F101">
        <v>2</v>
      </c>
      <c r="G101">
        <f>((E101*D101)*C101)*F101</f>
        <v>559.23974999999996</v>
      </c>
      <c r="H101">
        <v>1</v>
      </c>
      <c r="I101">
        <f>G101*H101</f>
        <v>559.23974999999996</v>
      </c>
    </row>
    <row r="102" spans="1:9" x14ac:dyDescent="0.2">
      <c r="G102" s="7"/>
      <c r="H102" t="s">
        <v>265</v>
      </c>
      <c r="I102" s="7">
        <f>SUM(I87:I101)</f>
        <v>4632.3731010000001</v>
      </c>
    </row>
    <row r="103" spans="1:9" x14ac:dyDescent="0.2">
      <c r="A103" t="s">
        <v>461</v>
      </c>
      <c r="B103">
        <f>B75*2+B76*2</f>
        <v>22.599999999999998</v>
      </c>
    </row>
    <row r="104" spans="1:9" x14ac:dyDescent="0.2">
      <c r="B104">
        <f>2.3*2</f>
        <v>4.5999999999999996</v>
      </c>
    </row>
    <row r="105" spans="1:9" x14ac:dyDescent="0.2">
      <c r="A105" t="s">
        <v>267</v>
      </c>
      <c r="B105" s="7">
        <f>SUM(B103:B104)</f>
        <v>27.199999999999996</v>
      </c>
    </row>
  </sheetData>
  <pageMargins left="0.7" right="0.7" top="0.75" bottom="0.75" header="0.3" footer="0.3"/>
  <pageSetup orientation="portrait" horizontalDpi="360" verticalDpi="36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64314-8322-4BEE-8A70-1BC2085DA11B}">
  <sheetPr codeName="Hoja27"/>
  <dimension ref="A2:D9"/>
  <sheetViews>
    <sheetView workbookViewId="0">
      <selection activeCell="D578" sqref="D578"/>
    </sheetView>
  </sheetViews>
  <sheetFormatPr baseColWidth="10" defaultRowHeight="16" x14ac:dyDescent="0.2"/>
  <sheetData>
    <row r="2" spans="1:4" x14ac:dyDescent="0.2">
      <c r="A2" s="5" t="s">
        <v>279</v>
      </c>
      <c r="B2" s="5" t="s">
        <v>262</v>
      </c>
      <c r="C2" s="5" t="s">
        <v>263</v>
      </c>
      <c r="D2" s="5" t="s">
        <v>267</v>
      </c>
    </row>
    <row r="3" spans="1:4" x14ac:dyDescent="0.2">
      <c r="A3" s="5" t="s">
        <v>228</v>
      </c>
      <c r="B3" s="5">
        <f>'MUROS BLOQUE CONCRETO'!B25+'MUROS BLOQUE CONCRETO'!B26+'MUROS BLOQUE CONCRETO'!B27+'MUROS BLOQUE CONCRETO'!B28+'MUROS BLOQUE CONCRETO'!B29+'MUROS BLOQUE CONCRETO'!B30+'MUROS BLOQUE CONCRETO'!B31+'MUROS BLOQUE CONCRETO'!B32+'MUROS BLOQUE CONCRETO'!B50</f>
        <v>118.05</v>
      </c>
      <c r="C3" s="5">
        <v>3.8</v>
      </c>
      <c r="D3" s="5">
        <f t="shared" ref="D3:D7" si="0">B3*C3</f>
        <v>448.59</v>
      </c>
    </row>
    <row r="4" spans="1:4" x14ac:dyDescent="0.2">
      <c r="A4" s="5" t="s">
        <v>236</v>
      </c>
      <c r="B4" s="5">
        <f>'MUROS BLOQUE CONCRETO'!B54+'MUROS BLOQUE CONCRETO'!B55+'MUROS BLOQUE CONCRETO'!B56+'MUROS BLOQUE CONCRETO'!B57+'MUROS BLOQUE CONCRETO'!B58+'MUROS BLOQUE CONCRETO'!B59+'MUROS BLOQUE CONCRETO'!B60+'MUROS BLOQUE CONCRETO'!B61+'MUROS BLOQUE CONCRETO'!B62+'MUROS BLOQUE CONCRETO'!B63</f>
        <v>87.24</v>
      </c>
      <c r="C4" s="5">
        <v>3.8</v>
      </c>
      <c r="D4" s="5">
        <f t="shared" si="0"/>
        <v>331.51199999999994</v>
      </c>
    </row>
    <row r="5" spans="1:4" x14ac:dyDescent="0.2">
      <c r="A5" s="5" t="s">
        <v>280</v>
      </c>
      <c r="B5" s="5">
        <f>'MUROS BLOQUE CONCRETO'!B69+'MUROS BLOQUE CONCRETO'!B70+'MUROS BLOQUE CONCRETO'!B71</f>
        <v>37.32</v>
      </c>
      <c r="C5" s="5">
        <v>0.9</v>
      </c>
      <c r="D5" s="5">
        <f t="shared" si="0"/>
        <v>33.588000000000001</v>
      </c>
    </row>
    <row r="6" spans="1:4" x14ac:dyDescent="0.2">
      <c r="A6" s="5" t="s">
        <v>281</v>
      </c>
      <c r="B6" s="5">
        <f>'MUROS BLOQUE CONCRETO'!B75+'MUROS BLOQUE CONCRETO'!B77</f>
        <v>42.9</v>
      </c>
      <c r="C6" s="5">
        <v>3.8</v>
      </c>
      <c r="D6" s="5">
        <f t="shared" si="0"/>
        <v>163.01999999999998</v>
      </c>
    </row>
    <row r="7" spans="1:4" x14ac:dyDescent="0.2">
      <c r="A7" s="5" t="s">
        <v>282</v>
      </c>
      <c r="B7" s="5">
        <f>'MUROS BLOQUE CONCRETO'!B76+'MUROS BLOQUE CONCRETO'!B78+'MUROS BLOQUE CONCRETO'!B79+'MUROS BLOQUE CONCRETO'!B80+'MUROS BLOQUE CONCRETO'!B81+'MUROS BLOQUE CONCRETO'!B82+'MUROS BLOQUE CONCRETO'!B83</f>
        <v>66.64</v>
      </c>
      <c r="C7" s="5">
        <v>0.9</v>
      </c>
      <c r="D7" s="5">
        <f t="shared" si="0"/>
        <v>59.975999999999999</v>
      </c>
    </row>
    <row r="8" spans="1:4" x14ac:dyDescent="0.2">
      <c r="A8" s="5"/>
      <c r="B8" s="5"/>
      <c r="C8" s="5"/>
      <c r="D8" s="5"/>
    </row>
    <row r="9" spans="1:4" x14ac:dyDescent="0.2">
      <c r="A9" s="5"/>
      <c r="B9" s="5"/>
      <c r="C9" s="5" t="s">
        <v>267</v>
      </c>
      <c r="D9" s="8">
        <f>SUM(D3:D8)</f>
        <v>1036.6859999999997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E4616-7B46-427C-9AFF-F6045225EC48}">
  <sheetPr codeName="Hoja28"/>
  <dimension ref="A1:G34"/>
  <sheetViews>
    <sheetView workbookViewId="0">
      <selection activeCell="D578" sqref="D578"/>
    </sheetView>
  </sheetViews>
  <sheetFormatPr baseColWidth="10" defaultRowHeight="16" x14ac:dyDescent="0.2"/>
  <cols>
    <col min="1" max="1" width="25.6640625" bestFit="1" customWidth="1"/>
    <col min="2" max="2" width="5.83203125" style="5" bestFit="1" customWidth="1"/>
    <col min="3" max="3" width="11" style="5"/>
    <col min="4" max="4" width="11.33203125" style="5" bestFit="1" customWidth="1"/>
    <col min="5" max="7" width="11" style="5"/>
  </cols>
  <sheetData>
    <row r="1" spans="1:7" x14ac:dyDescent="0.2">
      <c r="A1" s="3" t="s">
        <v>225</v>
      </c>
      <c r="C1" s="4"/>
      <c r="D1" s="4"/>
      <c r="E1" s="4"/>
    </row>
    <row r="2" spans="1:7" x14ac:dyDescent="0.2">
      <c r="A2" t="s">
        <v>226</v>
      </c>
      <c r="B2" s="5" t="s">
        <v>262</v>
      </c>
      <c r="C2" s="5" t="s">
        <v>263</v>
      </c>
      <c r="E2" s="5" t="s">
        <v>267</v>
      </c>
      <c r="F2" s="5" t="s">
        <v>283</v>
      </c>
    </row>
    <row r="3" spans="1:7" x14ac:dyDescent="0.2">
      <c r="B3" s="5">
        <v>3.12</v>
      </c>
      <c r="C3" s="5">
        <v>3.8</v>
      </c>
      <c r="E3" s="5">
        <f>B3*C3</f>
        <v>11.856</v>
      </c>
      <c r="F3" s="5">
        <v>1</v>
      </c>
      <c r="G3" s="5">
        <f>E3*F3</f>
        <v>11.856</v>
      </c>
    </row>
    <row r="4" spans="1:7" x14ac:dyDescent="0.2">
      <c r="B4" s="5">
        <v>3.12</v>
      </c>
      <c r="C4" s="5">
        <v>3.8</v>
      </c>
      <c r="E4" s="5">
        <f t="shared" ref="E4:E5" si="0">B4*C4</f>
        <v>11.856</v>
      </c>
      <c r="F4" s="5">
        <v>1</v>
      </c>
      <c r="G4" s="5">
        <f t="shared" ref="G4:G13" si="1">E4*F4</f>
        <v>11.856</v>
      </c>
    </row>
    <row r="5" spans="1:7" x14ac:dyDescent="0.2">
      <c r="B5" s="5">
        <v>12.6</v>
      </c>
      <c r="C5" s="5">
        <v>3.8</v>
      </c>
      <c r="E5" s="5">
        <f t="shared" si="0"/>
        <v>47.879999999999995</v>
      </c>
      <c r="F5" s="5">
        <v>1</v>
      </c>
      <c r="G5" s="5">
        <f t="shared" si="1"/>
        <v>47.879999999999995</v>
      </c>
    </row>
    <row r="6" spans="1:7" x14ac:dyDescent="0.2">
      <c r="A6" s="3" t="s">
        <v>228</v>
      </c>
      <c r="C6" s="4"/>
      <c r="D6" s="4"/>
      <c r="E6" s="4"/>
      <c r="G6" s="5">
        <f t="shared" si="1"/>
        <v>0</v>
      </c>
    </row>
    <row r="7" spans="1:7" x14ac:dyDescent="0.2">
      <c r="A7" t="s">
        <v>235</v>
      </c>
      <c r="G7" s="5">
        <f t="shared" si="1"/>
        <v>0</v>
      </c>
    </row>
    <row r="8" spans="1:7" x14ac:dyDescent="0.2">
      <c r="B8" s="5">
        <v>12.6</v>
      </c>
      <c r="C8" s="5">
        <v>2.8</v>
      </c>
      <c r="E8" s="5">
        <f t="shared" ref="E8" si="2">B8*C8</f>
        <v>35.279999999999994</v>
      </c>
      <c r="F8" s="5">
        <v>1</v>
      </c>
      <c r="G8" s="5">
        <f t="shared" si="1"/>
        <v>35.279999999999994</v>
      </c>
    </row>
    <row r="9" spans="1:7" x14ac:dyDescent="0.2">
      <c r="G9" s="5">
        <f t="shared" si="1"/>
        <v>0</v>
      </c>
    </row>
    <row r="10" spans="1:7" x14ac:dyDescent="0.2">
      <c r="A10" s="3" t="s">
        <v>236</v>
      </c>
      <c r="C10" s="4"/>
      <c r="D10" s="4"/>
      <c r="E10" s="4"/>
      <c r="G10" s="5">
        <f t="shared" si="1"/>
        <v>0</v>
      </c>
    </row>
    <row r="11" spans="1:7" x14ac:dyDescent="0.2">
      <c r="A11" t="s">
        <v>237</v>
      </c>
      <c r="G11" s="5">
        <f t="shared" si="1"/>
        <v>0</v>
      </c>
    </row>
    <row r="12" spans="1:7" x14ac:dyDescent="0.2">
      <c r="B12" s="5">
        <v>5.12</v>
      </c>
      <c r="C12" s="5">
        <v>3.8</v>
      </c>
      <c r="E12" s="5">
        <f t="shared" ref="E12:E23" si="3">B12*C12</f>
        <v>19.456</v>
      </c>
      <c r="F12" s="5">
        <v>1</v>
      </c>
      <c r="G12" s="5">
        <f t="shared" si="1"/>
        <v>19.456</v>
      </c>
    </row>
    <row r="13" spans="1:7" x14ac:dyDescent="0.2">
      <c r="B13" s="5">
        <v>6.72</v>
      </c>
      <c r="C13" s="5">
        <v>3.8</v>
      </c>
      <c r="E13" s="5">
        <f t="shared" si="3"/>
        <v>25.535999999999998</v>
      </c>
      <c r="F13" s="5">
        <v>1</v>
      </c>
      <c r="G13" s="5">
        <f t="shared" si="1"/>
        <v>25.535999999999998</v>
      </c>
    </row>
    <row r="14" spans="1:7" x14ac:dyDescent="0.2">
      <c r="A14" t="s">
        <v>238</v>
      </c>
      <c r="G14" s="5">
        <f t="shared" ref="G14:G27" si="4">E14*F14</f>
        <v>0</v>
      </c>
    </row>
    <row r="15" spans="1:7" x14ac:dyDescent="0.2">
      <c r="B15" s="5">
        <v>12.48</v>
      </c>
      <c r="C15" s="5">
        <v>0.9</v>
      </c>
      <c r="E15" s="5">
        <f t="shared" si="3"/>
        <v>11.232000000000001</v>
      </c>
      <c r="F15" s="5">
        <v>1</v>
      </c>
      <c r="G15" s="5">
        <f t="shared" si="4"/>
        <v>11.232000000000001</v>
      </c>
    </row>
    <row r="16" spans="1:7" x14ac:dyDescent="0.2">
      <c r="B16" s="5">
        <v>12.48</v>
      </c>
      <c r="C16" s="5">
        <v>0.9</v>
      </c>
      <c r="E16" s="5">
        <f t="shared" si="3"/>
        <v>11.232000000000001</v>
      </c>
      <c r="F16" s="5">
        <v>1</v>
      </c>
      <c r="G16" s="5">
        <f t="shared" si="4"/>
        <v>11.232000000000001</v>
      </c>
    </row>
    <row r="17" spans="1:7" x14ac:dyDescent="0.2">
      <c r="B17" s="5">
        <v>12.36</v>
      </c>
      <c r="C17" s="5">
        <v>0.9</v>
      </c>
      <c r="E17" s="5">
        <f t="shared" si="3"/>
        <v>11.124000000000001</v>
      </c>
      <c r="F17" s="5">
        <v>1</v>
      </c>
      <c r="G17" s="5">
        <f t="shared" si="4"/>
        <v>11.124000000000001</v>
      </c>
    </row>
    <row r="18" spans="1:7" x14ac:dyDescent="0.2">
      <c r="G18" s="5">
        <f t="shared" si="4"/>
        <v>0</v>
      </c>
    </row>
    <row r="19" spans="1:7" x14ac:dyDescent="0.2">
      <c r="A19" s="3" t="s">
        <v>239</v>
      </c>
      <c r="C19" s="4"/>
      <c r="D19" s="4"/>
      <c r="E19" s="4"/>
      <c r="G19" s="5">
        <f t="shared" si="4"/>
        <v>0</v>
      </c>
    </row>
    <row r="20" spans="1:7" x14ac:dyDescent="0.2">
      <c r="A20" t="s">
        <v>240</v>
      </c>
      <c r="G20" s="5">
        <f t="shared" si="4"/>
        <v>0</v>
      </c>
    </row>
    <row r="21" spans="1:7" x14ac:dyDescent="0.2">
      <c r="B21" s="5">
        <v>86.29</v>
      </c>
      <c r="C21" s="5">
        <v>0.9</v>
      </c>
      <c r="E21" s="5">
        <f t="shared" si="3"/>
        <v>77.661000000000001</v>
      </c>
      <c r="F21" s="5">
        <v>1</v>
      </c>
      <c r="G21" s="5">
        <f t="shared" si="4"/>
        <v>77.661000000000001</v>
      </c>
    </row>
    <row r="22" spans="1:7" x14ac:dyDescent="0.2">
      <c r="B22" s="5">
        <v>19.62</v>
      </c>
      <c r="C22" s="5">
        <v>3.5</v>
      </c>
      <c r="E22" s="5">
        <f t="shared" si="3"/>
        <v>68.67</v>
      </c>
      <c r="F22" s="5">
        <v>1</v>
      </c>
      <c r="G22" s="5">
        <f t="shared" si="4"/>
        <v>68.67</v>
      </c>
    </row>
    <row r="23" spans="1:7" x14ac:dyDescent="0.2">
      <c r="B23" s="5">
        <v>-1.4</v>
      </c>
      <c r="C23" s="5">
        <v>2.5499999999999998</v>
      </c>
      <c r="E23" s="5">
        <f t="shared" si="3"/>
        <v>-3.5699999999999994</v>
      </c>
      <c r="F23" s="5">
        <v>1</v>
      </c>
      <c r="G23" s="5">
        <f t="shared" si="4"/>
        <v>-3.5699999999999994</v>
      </c>
    </row>
    <row r="24" spans="1:7" x14ac:dyDescent="0.2">
      <c r="A24" s="3" t="s">
        <v>242</v>
      </c>
      <c r="C24" s="4"/>
      <c r="D24" s="4" t="s">
        <v>243</v>
      </c>
      <c r="E24" s="4"/>
      <c r="G24" s="5">
        <f t="shared" si="4"/>
        <v>0</v>
      </c>
    </row>
    <row r="25" spans="1:7" x14ac:dyDescent="0.2">
      <c r="B25" s="5">
        <v>6.35</v>
      </c>
      <c r="C25" s="5">
        <v>1.4</v>
      </c>
      <c r="D25" s="5">
        <v>3</v>
      </c>
      <c r="E25" s="5">
        <f>(B25*C25)*D25</f>
        <v>26.669999999999995</v>
      </c>
      <c r="F25" s="5">
        <v>1</v>
      </c>
      <c r="G25" s="5">
        <f t="shared" si="4"/>
        <v>26.669999999999995</v>
      </c>
    </row>
    <row r="26" spans="1:7" x14ac:dyDescent="0.2">
      <c r="B26" s="5">
        <v>1.08</v>
      </c>
      <c r="C26" s="5">
        <v>1.4</v>
      </c>
      <c r="D26" s="5">
        <v>3</v>
      </c>
      <c r="E26" s="5">
        <f t="shared" ref="E26:E27" si="5">(B26*C26)*D26</f>
        <v>4.5359999999999996</v>
      </c>
      <c r="F26" s="5">
        <v>1</v>
      </c>
      <c r="G26" s="5">
        <f t="shared" si="4"/>
        <v>4.5359999999999996</v>
      </c>
    </row>
    <row r="27" spans="1:7" x14ac:dyDescent="0.2">
      <c r="B27" s="5">
        <v>6.21</v>
      </c>
      <c r="C27" s="5">
        <v>1.4</v>
      </c>
      <c r="D27" s="5">
        <v>3</v>
      </c>
      <c r="E27" s="5">
        <f t="shared" si="5"/>
        <v>26.081999999999997</v>
      </c>
      <c r="F27" s="5">
        <v>1</v>
      </c>
      <c r="G27" s="5">
        <f t="shared" si="4"/>
        <v>26.081999999999997</v>
      </c>
    </row>
    <row r="29" spans="1:7" x14ac:dyDescent="0.2">
      <c r="F29" s="5" t="s">
        <v>267</v>
      </c>
      <c r="G29" s="8">
        <f>SUM(G3:G28)</f>
        <v>385.50099999999998</v>
      </c>
    </row>
    <row r="33" spans="6:6" x14ac:dyDescent="0.2">
      <c r="F33" s="2"/>
    </row>
    <row r="34" spans="6:6" x14ac:dyDescent="0.2">
      <c r="F34" s="2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4DCC4-708C-4654-9802-A3E574619BD4}">
  <sheetPr codeName="Hoja29"/>
  <dimension ref="A2:B68"/>
  <sheetViews>
    <sheetView workbookViewId="0">
      <selection activeCell="D578" sqref="D578"/>
    </sheetView>
  </sheetViews>
  <sheetFormatPr baseColWidth="10" defaultRowHeight="16" x14ac:dyDescent="0.2"/>
  <cols>
    <col min="1" max="1" width="31.33203125" bestFit="1" customWidth="1"/>
  </cols>
  <sheetData>
    <row r="2" spans="1:2" x14ac:dyDescent="0.2">
      <c r="A2" t="s">
        <v>225</v>
      </c>
    </row>
    <row r="3" spans="1:2" x14ac:dyDescent="0.2">
      <c r="A3" t="s">
        <v>363</v>
      </c>
      <c r="B3">
        <v>2.64</v>
      </c>
    </row>
    <row r="5" spans="1:2" x14ac:dyDescent="0.2">
      <c r="A5" t="s">
        <v>228</v>
      </c>
    </row>
    <row r="6" spans="1:2" x14ac:dyDescent="0.2">
      <c r="A6" t="s">
        <v>364</v>
      </c>
      <c r="B6">
        <f>3.09+69.77+13.11+1.04+1.039</f>
        <v>88.049000000000007</v>
      </c>
    </row>
    <row r="7" spans="1:2" x14ac:dyDescent="0.2">
      <c r="A7" t="s">
        <v>365</v>
      </c>
      <c r="B7">
        <v>16.510000000000002</v>
      </c>
    </row>
    <row r="8" spans="1:2" x14ac:dyDescent="0.2">
      <c r="A8" t="s">
        <v>366</v>
      </c>
      <c r="B8">
        <v>12.46</v>
      </c>
    </row>
    <row r="9" spans="1:2" x14ac:dyDescent="0.2">
      <c r="A9" t="s">
        <v>299</v>
      </c>
      <c r="B9">
        <v>1.66</v>
      </c>
    </row>
    <row r="10" spans="1:2" x14ac:dyDescent="0.2">
      <c r="A10" t="s">
        <v>340</v>
      </c>
      <c r="B10">
        <v>1.68</v>
      </c>
    </row>
    <row r="11" spans="1:2" x14ac:dyDescent="0.2">
      <c r="A11" t="s">
        <v>367</v>
      </c>
      <c r="B11">
        <v>1.82</v>
      </c>
    </row>
    <row r="12" spans="1:2" x14ac:dyDescent="0.2">
      <c r="A12" t="s">
        <v>374</v>
      </c>
      <c r="B12">
        <v>12.82</v>
      </c>
    </row>
    <row r="13" spans="1:2" x14ac:dyDescent="0.2">
      <c r="A13" t="s">
        <v>299</v>
      </c>
      <c r="B13">
        <v>1.68</v>
      </c>
    </row>
    <row r="14" spans="1:2" x14ac:dyDescent="0.2">
      <c r="A14" t="s">
        <v>367</v>
      </c>
      <c r="B14">
        <v>1.82</v>
      </c>
    </row>
    <row r="15" spans="1:2" x14ac:dyDescent="0.2">
      <c r="A15" t="s">
        <v>369</v>
      </c>
      <c r="B15">
        <v>11.887</v>
      </c>
    </row>
    <row r="16" spans="1:2" x14ac:dyDescent="0.2">
      <c r="A16" t="s">
        <v>343</v>
      </c>
      <c r="B16">
        <v>9.11</v>
      </c>
    </row>
    <row r="17" spans="1:2" x14ac:dyDescent="0.2">
      <c r="A17" t="s">
        <v>344</v>
      </c>
      <c r="B17">
        <v>9.09</v>
      </c>
    </row>
    <row r="18" spans="1:2" x14ac:dyDescent="0.2">
      <c r="A18" t="s">
        <v>370</v>
      </c>
      <c r="B18">
        <v>1.36</v>
      </c>
    </row>
    <row r="19" spans="1:2" x14ac:dyDescent="0.2">
      <c r="A19" t="s">
        <v>371</v>
      </c>
      <c r="B19">
        <v>9.2100000000000009</v>
      </c>
    </row>
    <row r="20" spans="1:2" x14ac:dyDescent="0.2">
      <c r="A20" t="s">
        <v>363</v>
      </c>
      <c r="B20">
        <v>1.73</v>
      </c>
    </row>
    <row r="21" spans="1:2" x14ac:dyDescent="0.2">
      <c r="A21" t="s">
        <v>372</v>
      </c>
      <c r="B21">
        <v>9.3000000000000007</v>
      </c>
    </row>
    <row r="22" spans="1:2" x14ac:dyDescent="0.2">
      <c r="A22" t="s">
        <v>346</v>
      </c>
      <c r="B22">
        <v>8.3800000000000008</v>
      </c>
    </row>
    <row r="23" spans="1:2" x14ac:dyDescent="0.2">
      <c r="A23" t="s">
        <v>373</v>
      </c>
      <c r="B23">
        <v>5.17</v>
      </c>
    </row>
    <row r="24" spans="1:2" x14ac:dyDescent="0.2">
      <c r="A24" t="s">
        <v>368</v>
      </c>
      <c r="B24">
        <v>17.62</v>
      </c>
    </row>
    <row r="25" spans="1:2" x14ac:dyDescent="0.2">
      <c r="A25" t="s">
        <v>375</v>
      </c>
      <c r="B25">
        <v>21.44</v>
      </c>
    </row>
    <row r="26" spans="1:2" x14ac:dyDescent="0.2">
      <c r="A26" t="s">
        <v>347</v>
      </c>
      <c r="B26">
        <v>2.66</v>
      </c>
    </row>
    <row r="27" spans="1:2" x14ac:dyDescent="0.2">
      <c r="A27" t="s">
        <v>351</v>
      </c>
      <c r="B27">
        <v>2.42</v>
      </c>
    </row>
    <row r="28" spans="1:2" x14ac:dyDescent="0.2">
      <c r="A28" t="s">
        <v>348</v>
      </c>
      <c r="B28">
        <v>2.65</v>
      </c>
    </row>
    <row r="29" spans="1:2" x14ac:dyDescent="0.2">
      <c r="A29" t="s">
        <v>376</v>
      </c>
      <c r="B29">
        <v>20.91</v>
      </c>
    </row>
    <row r="30" spans="1:2" x14ac:dyDescent="0.2">
      <c r="A30" t="s">
        <v>377</v>
      </c>
      <c r="B30">
        <v>3.88</v>
      </c>
    </row>
    <row r="31" spans="1:2" x14ac:dyDescent="0.2">
      <c r="A31" t="s">
        <v>368</v>
      </c>
      <c r="B31">
        <v>19.84</v>
      </c>
    </row>
    <row r="32" spans="1:2" x14ac:dyDescent="0.2">
      <c r="A32" t="s">
        <v>373</v>
      </c>
      <c r="B32">
        <v>5.17</v>
      </c>
    </row>
    <row r="33" spans="1:2" x14ac:dyDescent="0.2">
      <c r="A33" t="s">
        <v>346</v>
      </c>
      <c r="B33">
        <v>8.3800000000000008</v>
      </c>
    </row>
    <row r="34" spans="1:2" x14ac:dyDescent="0.2">
      <c r="A34" t="s">
        <v>370</v>
      </c>
      <c r="B34">
        <v>5.26</v>
      </c>
    </row>
    <row r="35" spans="1:2" x14ac:dyDescent="0.2">
      <c r="A35" t="s">
        <v>378</v>
      </c>
      <c r="B35">
        <v>31</v>
      </c>
    </row>
    <row r="36" spans="1:2" x14ac:dyDescent="0.2">
      <c r="A36" t="s">
        <v>379</v>
      </c>
      <c r="B36">
        <v>11.5</v>
      </c>
    </row>
    <row r="37" spans="1:2" x14ac:dyDescent="0.2">
      <c r="A37" t="s">
        <v>380</v>
      </c>
      <c r="B37">
        <v>11.43</v>
      </c>
    </row>
    <row r="38" spans="1:2" x14ac:dyDescent="0.2">
      <c r="A38" t="s">
        <v>381</v>
      </c>
      <c r="B38">
        <v>11.31</v>
      </c>
    </row>
    <row r="39" spans="1:2" x14ac:dyDescent="0.2">
      <c r="A39" t="s">
        <v>381</v>
      </c>
      <c r="B39">
        <v>11.31</v>
      </c>
    </row>
    <row r="40" spans="1:2" x14ac:dyDescent="0.2">
      <c r="A40" t="s">
        <v>363</v>
      </c>
      <c r="B40">
        <v>2.71</v>
      </c>
    </row>
    <row r="41" spans="1:2" x14ac:dyDescent="0.2">
      <c r="A41" t="s">
        <v>363</v>
      </c>
      <c r="B41">
        <v>2.79</v>
      </c>
    </row>
    <row r="42" spans="1:2" x14ac:dyDescent="0.2">
      <c r="A42" t="s">
        <v>378</v>
      </c>
      <c r="B42">
        <v>15</v>
      </c>
    </row>
    <row r="43" spans="1:2" x14ac:dyDescent="0.2">
      <c r="A43" t="s">
        <v>382</v>
      </c>
      <c r="B43">
        <v>16.52</v>
      </c>
    </row>
    <row r="44" spans="1:2" x14ac:dyDescent="0.2">
      <c r="A44" t="s">
        <v>383</v>
      </c>
      <c r="B44">
        <v>24.66</v>
      </c>
    </row>
    <row r="46" spans="1:2" x14ac:dyDescent="0.2">
      <c r="A46" t="s">
        <v>236</v>
      </c>
    </row>
    <row r="47" spans="1:2" x14ac:dyDescent="0.2">
      <c r="A47" t="s">
        <v>363</v>
      </c>
      <c r="B47">
        <v>3.13</v>
      </c>
    </row>
    <row r="48" spans="1:2" x14ac:dyDescent="0.2">
      <c r="A48" t="s">
        <v>384</v>
      </c>
      <c r="B48">
        <v>15.1</v>
      </c>
    </row>
    <row r="49" spans="1:2" x14ac:dyDescent="0.2">
      <c r="A49" t="s">
        <v>385</v>
      </c>
      <c r="B49">
        <v>13.71</v>
      </c>
    </row>
    <row r="50" spans="1:2" x14ac:dyDescent="0.2">
      <c r="A50" t="s">
        <v>299</v>
      </c>
      <c r="B50">
        <v>1.66</v>
      </c>
    </row>
    <row r="51" spans="1:2" x14ac:dyDescent="0.2">
      <c r="A51" t="s">
        <v>386</v>
      </c>
      <c r="B51">
        <v>1.68</v>
      </c>
    </row>
    <row r="52" spans="1:2" x14ac:dyDescent="0.2">
      <c r="A52" t="s">
        <v>351</v>
      </c>
      <c r="B52">
        <v>1.82</v>
      </c>
    </row>
    <row r="53" spans="1:2" x14ac:dyDescent="0.2">
      <c r="A53" t="s">
        <v>387</v>
      </c>
      <c r="B53">
        <v>12.82</v>
      </c>
    </row>
    <row r="54" spans="1:2" x14ac:dyDescent="0.2">
      <c r="A54" t="s">
        <v>388</v>
      </c>
      <c r="B54">
        <v>3.65</v>
      </c>
    </row>
    <row r="55" spans="1:2" x14ac:dyDescent="0.2">
      <c r="A55" t="s">
        <v>389</v>
      </c>
      <c r="B55">
        <v>1.7</v>
      </c>
    </row>
    <row r="56" spans="1:2" x14ac:dyDescent="0.2">
      <c r="A56" t="s">
        <v>390</v>
      </c>
      <c r="B56">
        <v>11.87</v>
      </c>
    </row>
    <row r="57" spans="1:2" x14ac:dyDescent="0.2">
      <c r="A57" t="s">
        <v>343</v>
      </c>
      <c r="B57">
        <v>9.11</v>
      </c>
    </row>
    <row r="58" spans="1:2" x14ac:dyDescent="0.2">
      <c r="A58" t="s">
        <v>344</v>
      </c>
      <c r="B58">
        <v>9.09</v>
      </c>
    </row>
    <row r="59" spans="1:2" x14ac:dyDescent="0.2">
      <c r="A59" t="s">
        <v>391</v>
      </c>
      <c r="B59">
        <v>14.37</v>
      </c>
    </row>
    <row r="60" spans="1:2" x14ac:dyDescent="0.2">
      <c r="A60" t="s">
        <v>392</v>
      </c>
      <c r="B60">
        <v>1.74</v>
      </c>
    </row>
    <row r="61" spans="1:2" x14ac:dyDescent="0.2">
      <c r="A61" t="s">
        <v>370</v>
      </c>
      <c r="B61">
        <v>1.39</v>
      </c>
    </row>
    <row r="62" spans="1:2" x14ac:dyDescent="0.2">
      <c r="A62" t="s">
        <v>393</v>
      </c>
      <c r="B62">
        <v>9.3000000000000007</v>
      </c>
    </row>
    <row r="63" spans="1:2" x14ac:dyDescent="0.2">
      <c r="A63" t="s">
        <v>364</v>
      </c>
      <c r="B63">
        <f>63.28+1.36</f>
        <v>64.64</v>
      </c>
    </row>
    <row r="64" spans="1:2" x14ac:dyDescent="0.2">
      <c r="A64" t="s">
        <v>378</v>
      </c>
      <c r="B64">
        <v>34.14</v>
      </c>
    </row>
    <row r="65" spans="1:2" x14ac:dyDescent="0.2">
      <c r="A65" t="s">
        <v>394</v>
      </c>
      <c r="B65">
        <v>85.91</v>
      </c>
    </row>
    <row r="66" spans="1:2" x14ac:dyDescent="0.2">
      <c r="A66" t="s">
        <v>395</v>
      </c>
      <c r="B66">
        <v>24.66</v>
      </c>
    </row>
    <row r="68" spans="1:2" x14ac:dyDescent="0.2">
      <c r="A68" t="s">
        <v>265</v>
      </c>
      <c r="B68" s="7">
        <f>SUM(B3:B67)</f>
        <v>776.32599999999991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248DF-FD55-4F58-93FE-EAD992E50D3B}">
  <sheetPr codeName="Hoja30"/>
  <dimension ref="A1:G225"/>
  <sheetViews>
    <sheetView workbookViewId="0">
      <selection activeCell="D578" sqref="D578"/>
    </sheetView>
  </sheetViews>
  <sheetFormatPr baseColWidth="10" defaultRowHeight="16" x14ac:dyDescent="0.2"/>
  <cols>
    <col min="1" max="1" width="16.1640625" bestFit="1" customWidth="1"/>
    <col min="2" max="3" width="14.1640625" bestFit="1" customWidth="1"/>
  </cols>
  <sheetData>
    <row r="1" spans="1:7" x14ac:dyDescent="0.2">
      <c r="A1" t="s">
        <v>225</v>
      </c>
    </row>
    <row r="2" spans="1:7" x14ac:dyDescent="0.2">
      <c r="A2" t="s">
        <v>397</v>
      </c>
    </row>
    <row r="3" spans="1:7" x14ac:dyDescent="0.2">
      <c r="A3" s="3" t="s">
        <v>225</v>
      </c>
      <c r="B3" s="5"/>
      <c r="C3" s="4"/>
      <c r="D3" s="4"/>
      <c r="E3" s="4"/>
      <c r="F3" s="5"/>
      <c r="G3" s="5"/>
    </row>
    <row r="4" spans="1:7" x14ac:dyDescent="0.2">
      <c r="A4" t="s">
        <v>226</v>
      </c>
      <c r="B4" s="5" t="s">
        <v>262</v>
      </c>
      <c r="C4" s="5" t="s">
        <v>263</v>
      </c>
      <c r="D4" s="5"/>
      <c r="E4" s="5" t="s">
        <v>267</v>
      </c>
      <c r="F4" s="5" t="s">
        <v>283</v>
      </c>
      <c r="G4" s="5"/>
    </row>
    <row r="5" spans="1:7" x14ac:dyDescent="0.2">
      <c r="B5" s="5">
        <v>25.3</v>
      </c>
      <c r="C5" s="5">
        <v>3.8</v>
      </c>
      <c r="D5" s="5"/>
      <c r="E5" s="5">
        <f>B5*C5</f>
        <v>96.14</v>
      </c>
      <c r="F5" s="5">
        <v>1</v>
      </c>
      <c r="G5" s="5">
        <f>E5*F5</f>
        <v>96.14</v>
      </c>
    </row>
    <row r="6" spans="1:7" x14ac:dyDescent="0.2">
      <c r="B6" s="5">
        <v>22</v>
      </c>
      <c r="C6" s="5">
        <v>3.8</v>
      </c>
      <c r="D6" s="5"/>
      <c r="E6" s="5">
        <f t="shared" ref="E6:E23" si="0">B6*C6</f>
        <v>83.6</v>
      </c>
      <c r="F6" s="5">
        <v>1</v>
      </c>
      <c r="G6" s="5">
        <f t="shared" ref="G6:G69" si="1">E6*F6</f>
        <v>83.6</v>
      </c>
    </row>
    <row r="7" spans="1:7" x14ac:dyDescent="0.2">
      <c r="B7" s="5">
        <v>12.6</v>
      </c>
      <c r="C7" s="5">
        <v>3.8</v>
      </c>
      <c r="D7" s="5"/>
      <c r="E7" s="5">
        <f t="shared" si="0"/>
        <v>47.879999999999995</v>
      </c>
      <c r="F7" s="5">
        <v>1</v>
      </c>
      <c r="G7" s="5">
        <f t="shared" si="1"/>
        <v>47.879999999999995</v>
      </c>
    </row>
    <row r="8" spans="1:7" x14ac:dyDescent="0.2">
      <c r="B8" s="5">
        <v>26.6</v>
      </c>
      <c r="C8" s="5">
        <v>3.8</v>
      </c>
      <c r="D8" s="5"/>
      <c r="E8" s="5">
        <f t="shared" si="0"/>
        <v>101.08</v>
      </c>
      <c r="F8" s="5">
        <v>1</v>
      </c>
      <c r="G8" s="5">
        <f t="shared" si="1"/>
        <v>101.08</v>
      </c>
    </row>
    <row r="9" spans="1:7" x14ac:dyDescent="0.2">
      <c r="A9" t="s">
        <v>234</v>
      </c>
      <c r="B9" s="5"/>
      <c r="C9" s="5"/>
      <c r="D9" s="5"/>
      <c r="E9" s="5"/>
      <c r="F9" s="5"/>
      <c r="G9" s="5">
        <f t="shared" si="1"/>
        <v>0</v>
      </c>
    </row>
    <row r="10" spans="1:7" x14ac:dyDescent="0.2">
      <c r="B10" s="5">
        <v>6.08</v>
      </c>
      <c r="C10" s="5">
        <v>3.8</v>
      </c>
      <c r="D10" s="5"/>
      <c r="E10" s="5">
        <f t="shared" si="0"/>
        <v>23.103999999999999</v>
      </c>
      <c r="F10" s="5">
        <v>2</v>
      </c>
      <c r="G10" s="5">
        <f t="shared" si="1"/>
        <v>46.207999999999998</v>
      </c>
    </row>
    <row r="11" spans="1:7" x14ac:dyDescent="0.2">
      <c r="B11" s="5">
        <v>3.98</v>
      </c>
      <c r="C11" s="5">
        <v>3.8</v>
      </c>
      <c r="D11" s="5"/>
      <c r="E11" s="5">
        <f t="shared" si="0"/>
        <v>15.123999999999999</v>
      </c>
      <c r="F11" s="5">
        <v>2</v>
      </c>
      <c r="G11" s="5">
        <f t="shared" si="1"/>
        <v>30.247999999999998</v>
      </c>
    </row>
    <row r="12" spans="1:7" x14ac:dyDescent="0.2">
      <c r="A12" t="s">
        <v>233</v>
      </c>
      <c r="B12" s="5"/>
      <c r="C12" s="5"/>
      <c r="D12" s="5"/>
      <c r="E12" s="5"/>
      <c r="F12" s="5"/>
      <c r="G12" s="5">
        <f t="shared" si="1"/>
        <v>0</v>
      </c>
    </row>
    <row r="13" spans="1:7" x14ac:dyDescent="0.2">
      <c r="B13" s="5">
        <v>2.86</v>
      </c>
      <c r="C13" s="5">
        <v>3.8</v>
      </c>
      <c r="D13" s="5"/>
      <c r="E13" s="5">
        <f t="shared" si="0"/>
        <v>10.867999999999999</v>
      </c>
      <c r="F13" s="5">
        <v>2</v>
      </c>
      <c r="G13" s="5">
        <f t="shared" si="1"/>
        <v>21.735999999999997</v>
      </c>
    </row>
    <row r="14" spans="1:7" x14ac:dyDescent="0.2">
      <c r="B14" s="5">
        <v>2.86</v>
      </c>
      <c r="C14" s="5">
        <v>3.8</v>
      </c>
      <c r="D14" s="5"/>
      <c r="E14" s="5">
        <f t="shared" si="0"/>
        <v>10.867999999999999</v>
      </c>
      <c r="F14" s="5">
        <v>2</v>
      </c>
      <c r="G14" s="5">
        <f t="shared" si="1"/>
        <v>21.735999999999997</v>
      </c>
    </row>
    <row r="15" spans="1:7" x14ac:dyDescent="0.2">
      <c r="B15" s="5">
        <v>2.6</v>
      </c>
      <c r="C15" s="5">
        <v>3.8</v>
      </c>
      <c r="D15" s="5"/>
      <c r="E15" s="5">
        <f t="shared" si="0"/>
        <v>9.879999999999999</v>
      </c>
      <c r="F15" s="5">
        <v>2</v>
      </c>
      <c r="G15" s="5">
        <f t="shared" si="1"/>
        <v>19.759999999999998</v>
      </c>
    </row>
    <row r="16" spans="1:7" x14ac:dyDescent="0.2">
      <c r="B16" s="5">
        <v>0.8</v>
      </c>
      <c r="C16" s="5">
        <v>3.8</v>
      </c>
      <c r="D16" s="5"/>
      <c r="E16" s="5">
        <f t="shared" si="0"/>
        <v>3.04</v>
      </c>
      <c r="F16" s="5">
        <v>2</v>
      </c>
      <c r="G16" s="5">
        <f t="shared" si="1"/>
        <v>6.08</v>
      </c>
    </row>
    <row r="17" spans="1:7" x14ac:dyDescent="0.2">
      <c r="B17" s="5">
        <v>0.8</v>
      </c>
      <c r="C17" s="5">
        <v>3.8</v>
      </c>
      <c r="D17" s="5"/>
      <c r="E17" s="5">
        <f t="shared" si="0"/>
        <v>3.04</v>
      </c>
      <c r="F17" s="5">
        <v>2</v>
      </c>
      <c r="G17" s="5">
        <f t="shared" si="1"/>
        <v>6.08</v>
      </c>
    </row>
    <row r="18" spans="1:7" x14ac:dyDescent="0.2">
      <c r="A18" t="s">
        <v>229</v>
      </c>
      <c r="B18" s="5"/>
      <c r="C18" s="5"/>
      <c r="D18" s="5"/>
      <c r="E18" s="5"/>
      <c r="F18" s="5"/>
      <c r="G18" s="5">
        <f t="shared" si="1"/>
        <v>0</v>
      </c>
    </row>
    <row r="19" spans="1:7" x14ac:dyDescent="0.2">
      <c r="B19" s="5">
        <v>6.08</v>
      </c>
      <c r="C19" s="5">
        <v>3.8</v>
      </c>
      <c r="D19" s="5"/>
      <c r="E19" s="5">
        <f t="shared" si="0"/>
        <v>23.103999999999999</v>
      </c>
      <c r="F19" s="5">
        <v>2</v>
      </c>
      <c r="G19" s="5">
        <f t="shared" si="1"/>
        <v>46.207999999999998</v>
      </c>
    </row>
    <row r="20" spans="1:7" x14ac:dyDescent="0.2">
      <c r="B20" s="5">
        <v>1.1000000000000001</v>
      </c>
      <c r="C20" s="5">
        <v>3.8</v>
      </c>
      <c r="D20" s="5"/>
      <c r="E20" s="5">
        <f t="shared" si="0"/>
        <v>4.18</v>
      </c>
      <c r="F20" s="5">
        <v>2</v>
      </c>
      <c r="G20" s="5">
        <f t="shared" si="1"/>
        <v>8.36</v>
      </c>
    </row>
    <row r="21" spans="1:7" x14ac:dyDescent="0.2">
      <c r="B21" s="5">
        <v>1.2</v>
      </c>
      <c r="C21" s="5">
        <v>3.8</v>
      </c>
      <c r="D21" s="5"/>
      <c r="E21" s="5">
        <f t="shared" si="0"/>
        <v>4.5599999999999996</v>
      </c>
      <c r="F21" s="5">
        <v>2</v>
      </c>
      <c r="G21" s="5">
        <f t="shared" si="1"/>
        <v>9.1199999999999992</v>
      </c>
    </row>
    <row r="22" spans="1:7" x14ac:dyDescent="0.2">
      <c r="B22" s="5">
        <v>2.92</v>
      </c>
      <c r="C22" s="5">
        <v>3.8</v>
      </c>
      <c r="D22" s="5"/>
      <c r="E22" s="5">
        <f t="shared" si="0"/>
        <v>11.096</v>
      </c>
      <c r="F22" s="5">
        <v>2</v>
      </c>
      <c r="G22" s="5">
        <f t="shared" si="1"/>
        <v>22.192</v>
      </c>
    </row>
    <row r="23" spans="1:7" x14ac:dyDescent="0.2">
      <c r="B23" s="5">
        <v>-0.7</v>
      </c>
      <c r="C23" s="5">
        <v>2.5499999999999998</v>
      </c>
      <c r="D23" s="5"/>
      <c r="E23" s="5">
        <f t="shared" si="0"/>
        <v>-1.7849999999999997</v>
      </c>
      <c r="F23" s="5">
        <v>1</v>
      </c>
      <c r="G23" s="5">
        <f t="shared" si="1"/>
        <v>-1.7849999999999997</v>
      </c>
    </row>
    <row r="24" spans="1:7" x14ac:dyDescent="0.2">
      <c r="B24" s="5"/>
      <c r="C24" s="5"/>
      <c r="D24" s="5"/>
      <c r="E24" s="5"/>
      <c r="F24" s="5"/>
      <c r="G24" s="5">
        <f t="shared" si="1"/>
        <v>0</v>
      </c>
    </row>
    <row r="25" spans="1:7" x14ac:dyDescent="0.2">
      <c r="A25" s="3" t="s">
        <v>228</v>
      </c>
      <c r="B25" s="5"/>
      <c r="C25" s="4"/>
      <c r="D25" s="4"/>
      <c r="E25" s="4"/>
      <c r="F25" s="5"/>
      <c r="G25" s="5">
        <f t="shared" si="1"/>
        <v>0</v>
      </c>
    </row>
    <row r="26" spans="1:7" x14ac:dyDescent="0.2">
      <c r="A26" t="s">
        <v>226</v>
      </c>
      <c r="B26" s="5"/>
      <c r="C26" s="5"/>
      <c r="D26" s="5"/>
      <c r="E26" s="5"/>
      <c r="F26" s="5"/>
      <c r="G26" s="5">
        <f t="shared" si="1"/>
        <v>0</v>
      </c>
    </row>
    <row r="27" spans="1:7" x14ac:dyDescent="0.2">
      <c r="B27" s="5">
        <v>25.3</v>
      </c>
      <c r="C27" s="5">
        <v>2.8</v>
      </c>
      <c r="D27" s="5"/>
      <c r="E27" s="5">
        <f t="shared" ref="E27:E44" si="2">B27*C27</f>
        <v>70.84</v>
      </c>
      <c r="F27" s="5">
        <v>1</v>
      </c>
      <c r="G27" s="5">
        <f t="shared" si="1"/>
        <v>70.84</v>
      </c>
    </row>
    <row r="28" spans="1:7" x14ac:dyDescent="0.2">
      <c r="B28" s="5">
        <v>22</v>
      </c>
      <c r="C28" s="5">
        <v>2.8</v>
      </c>
      <c r="D28" s="5"/>
      <c r="E28" s="5">
        <f t="shared" si="2"/>
        <v>61.599999999999994</v>
      </c>
      <c r="F28" s="5">
        <v>1</v>
      </c>
      <c r="G28" s="5">
        <f t="shared" si="1"/>
        <v>61.599999999999994</v>
      </c>
    </row>
    <row r="29" spans="1:7" x14ac:dyDescent="0.2">
      <c r="B29" s="5">
        <v>12.6</v>
      </c>
      <c r="C29" s="5">
        <v>2.8</v>
      </c>
      <c r="D29" s="5"/>
      <c r="E29" s="5">
        <f t="shared" si="2"/>
        <v>35.279999999999994</v>
      </c>
      <c r="F29" s="5">
        <v>1</v>
      </c>
      <c r="G29" s="5">
        <f t="shared" si="1"/>
        <v>35.279999999999994</v>
      </c>
    </row>
    <row r="30" spans="1:7" x14ac:dyDescent="0.2">
      <c r="B30" s="5">
        <v>15.68</v>
      </c>
      <c r="C30" s="5">
        <v>2.8</v>
      </c>
      <c r="D30" s="5"/>
      <c r="E30" s="5">
        <f t="shared" si="2"/>
        <v>43.903999999999996</v>
      </c>
      <c r="F30" s="5">
        <v>1</v>
      </c>
      <c r="G30" s="5">
        <f t="shared" si="1"/>
        <v>43.903999999999996</v>
      </c>
    </row>
    <row r="31" spans="1:7" x14ac:dyDescent="0.2">
      <c r="B31" s="5">
        <v>12.51</v>
      </c>
      <c r="C31" s="5">
        <v>2.8</v>
      </c>
      <c r="D31" s="5"/>
      <c r="E31" s="5">
        <f t="shared" si="2"/>
        <v>35.027999999999999</v>
      </c>
      <c r="F31" s="5">
        <v>1</v>
      </c>
      <c r="G31" s="5">
        <f t="shared" si="1"/>
        <v>35.027999999999999</v>
      </c>
    </row>
    <row r="32" spans="1:7" x14ac:dyDescent="0.2">
      <c r="B32" s="5">
        <v>7.5</v>
      </c>
      <c r="C32" s="5">
        <v>2.8</v>
      </c>
      <c r="D32" s="5"/>
      <c r="E32" s="5">
        <f t="shared" si="2"/>
        <v>21</v>
      </c>
      <c r="F32" s="5">
        <v>1</v>
      </c>
      <c r="G32" s="5">
        <f t="shared" si="1"/>
        <v>21</v>
      </c>
    </row>
    <row r="33" spans="1:7" x14ac:dyDescent="0.2">
      <c r="B33" s="5">
        <v>6.1</v>
      </c>
      <c r="C33" s="5">
        <v>2.8</v>
      </c>
      <c r="D33" s="5"/>
      <c r="E33" s="5">
        <f t="shared" si="2"/>
        <v>17.079999999999998</v>
      </c>
      <c r="F33" s="5">
        <v>1</v>
      </c>
      <c r="G33" s="5">
        <f t="shared" si="1"/>
        <v>17.079999999999998</v>
      </c>
    </row>
    <row r="34" spans="1:7" x14ac:dyDescent="0.2">
      <c r="B34" s="5">
        <v>3.76</v>
      </c>
      <c r="C34" s="5">
        <v>2.8</v>
      </c>
      <c r="D34" s="5"/>
      <c r="E34" s="5">
        <f t="shared" si="2"/>
        <v>10.527999999999999</v>
      </c>
      <c r="F34" s="5">
        <v>1</v>
      </c>
      <c r="G34" s="5">
        <f t="shared" si="1"/>
        <v>10.527999999999999</v>
      </c>
    </row>
    <row r="35" spans="1:7" x14ac:dyDescent="0.2">
      <c r="A35" t="s">
        <v>230</v>
      </c>
      <c r="B35" s="5"/>
      <c r="C35" s="5"/>
      <c r="D35" s="5"/>
      <c r="E35" s="5"/>
      <c r="F35" s="5"/>
      <c r="G35" s="5">
        <f t="shared" si="1"/>
        <v>0</v>
      </c>
    </row>
    <row r="36" spans="1:7" x14ac:dyDescent="0.2">
      <c r="B36" s="5">
        <v>5.78</v>
      </c>
      <c r="C36" s="5">
        <v>3.8</v>
      </c>
      <c r="D36" s="5"/>
      <c r="E36" s="5">
        <f t="shared" si="2"/>
        <v>21.963999999999999</v>
      </c>
      <c r="F36" s="5">
        <v>2</v>
      </c>
      <c r="G36" s="5">
        <f t="shared" si="1"/>
        <v>43.927999999999997</v>
      </c>
    </row>
    <row r="37" spans="1:7" x14ac:dyDescent="0.2">
      <c r="B37" s="5">
        <v>2.2400000000000002</v>
      </c>
      <c r="C37" s="5">
        <v>3.8</v>
      </c>
      <c r="D37" s="5"/>
      <c r="E37" s="5">
        <f t="shared" si="2"/>
        <v>8.5120000000000005</v>
      </c>
      <c r="F37" s="5">
        <v>2</v>
      </c>
      <c r="G37" s="5">
        <f t="shared" si="1"/>
        <v>17.024000000000001</v>
      </c>
    </row>
    <row r="38" spans="1:7" x14ac:dyDescent="0.2">
      <c r="B38" s="5">
        <v>2.48</v>
      </c>
      <c r="C38" s="5">
        <v>3.8</v>
      </c>
      <c r="D38" s="5"/>
      <c r="E38" s="5">
        <f t="shared" si="2"/>
        <v>9.4239999999999995</v>
      </c>
      <c r="F38" s="5">
        <v>2</v>
      </c>
      <c r="G38" s="5">
        <f t="shared" si="1"/>
        <v>18.847999999999999</v>
      </c>
    </row>
    <row r="39" spans="1:7" x14ac:dyDescent="0.2">
      <c r="B39" s="5">
        <v>3.6</v>
      </c>
      <c r="C39" s="5">
        <v>3.8</v>
      </c>
      <c r="D39" s="5"/>
      <c r="E39" s="5">
        <f t="shared" si="2"/>
        <v>13.68</v>
      </c>
      <c r="F39" s="5">
        <v>2</v>
      </c>
      <c r="G39" s="5">
        <f t="shared" si="1"/>
        <v>27.36</v>
      </c>
    </row>
    <row r="40" spans="1:7" x14ac:dyDescent="0.2">
      <c r="B40" s="5">
        <v>1.8</v>
      </c>
      <c r="C40" s="5">
        <v>3.8</v>
      </c>
      <c r="D40" s="5"/>
      <c r="E40" s="5">
        <f t="shared" si="2"/>
        <v>6.84</v>
      </c>
      <c r="F40" s="5">
        <v>2</v>
      </c>
      <c r="G40" s="5">
        <f t="shared" si="1"/>
        <v>13.68</v>
      </c>
    </row>
    <row r="41" spans="1:7" x14ac:dyDescent="0.2">
      <c r="B41" s="5">
        <v>-1.8</v>
      </c>
      <c r="C41" s="5">
        <v>2.5499999999999998</v>
      </c>
      <c r="D41" s="5"/>
      <c r="E41" s="5">
        <f t="shared" si="2"/>
        <v>-4.59</v>
      </c>
      <c r="F41" s="5">
        <v>1</v>
      </c>
      <c r="G41" s="5">
        <f t="shared" si="1"/>
        <v>-4.59</v>
      </c>
    </row>
    <row r="42" spans="1:7" x14ac:dyDescent="0.2">
      <c r="A42" t="s">
        <v>231</v>
      </c>
      <c r="B42" s="5"/>
      <c r="C42" s="5"/>
      <c r="D42" s="5"/>
      <c r="E42" s="5"/>
      <c r="F42" s="5"/>
      <c r="G42" s="5">
        <f t="shared" si="1"/>
        <v>0</v>
      </c>
    </row>
    <row r="43" spans="1:7" x14ac:dyDescent="0.2">
      <c r="B43" s="5">
        <v>1.4</v>
      </c>
      <c r="C43" s="5">
        <v>3.8</v>
      </c>
      <c r="D43" s="5"/>
      <c r="E43" s="5">
        <f t="shared" si="2"/>
        <v>5.3199999999999994</v>
      </c>
      <c r="F43" s="5">
        <v>2</v>
      </c>
      <c r="G43" s="5">
        <f t="shared" si="1"/>
        <v>10.639999999999999</v>
      </c>
    </row>
    <row r="44" spans="1:7" x14ac:dyDescent="0.2">
      <c r="B44" s="5">
        <v>0.74</v>
      </c>
      <c r="C44" s="5">
        <v>3.8</v>
      </c>
      <c r="D44" s="5"/>
      <c r="E44" s="5">
        <f t="shared" si="2"/>
        <v>2.8119999999999998</v>
      </c>
      <c r="F44" s="5">
        <v>2</v>
      </c>
      <c r="G44" s="5">
        <f t="shared" si="1"/>
        <v>5.6239999999999997</v>
      </c>
    </row>
    <row r="45" spans="1:7" x14ac:dyDescent="0.2">
      <c r="A45" t="s">
        <v>232</v>
      </c>
      <c r="B45" s="5"/>
      <c r="C45" s="5"/>
      <c r="D45" s="5"/>
      <c r="E45" s="5"/>
      <c r="F45" s="5"/>
      <c r="G45" s="5">
        <f t="shared" si="1"/>
        <v>0</v>
      </c>
    </row>
    <row r="46" spans="1:7" x14ac:dyDescent="0.2">
      <c r="B46" s="5">
        <v>2.86</v>
      </c>
      <c r="C46" s="5">
        <v>3.8</v>
      </c>
      <c r="D46" s="5"/>
      <c r="E46" s="5">
        <f t="shared" ref="E46:E52" si="3">B46*C46</f>
        <v>10.867999999999999</v>
      </c>
      <c r="F46" s="5">
        <v>2</v>
      </c>
      <c r="G46" s="5">
        <f t="shared" si="1"/>
        <v>21.735999999999997</v>
      </c>
    </row>
    <row r="47" spans="1:7" x14ac:dyDescent="0.2">
      <c r="B47" s="5">
        <v>2.86</v>
      </c>
      <c r="C47" s="5">
        <v>3.8</v>
      </c>
      <c r="D47" s="5"/>
      <c r="E47" s="5">
        <f t="shared" si="3"/>
        <v>10.867999999999999</v>
      </c>
      <c r="F47" s="5">
        <v>2</v>
      </c>
      <c r="G47" s="5">
        <f t="shared" si="1"/>
        <v>21.735999999999997</v>
      </c>
    </row>
    <row r="48" spans="1:7" x14ac:dyDescent="0.2">
      <c r="B48" s="5">
        <v>2.6</v>
      </c>
      <c r="C48" s="5">
        <v>3.8</v>
      </c>
      <c r="D48" s="5"/>
      <c r="E48" s="5">
        <f t="shared" si="3"/>
        <v>9.879999999999999</v>
      </c>
      <c r="F48" s="5">
        <v>2</v>
      </c>
      <c r="G48" s="5">
        <f t="shared" si="1"/>
        <v>19.759999999999998</v>
      </c>
    </row>
    <row r="49" spans="1:7" x14ac:dyDescent="0.2">
      <c r="B49" s="5">
        <v>0.8</v>
      </c>
      <c r="C49" s="5">
        <v>3.8</v>
      </c>
      <c r="D49" s="5"/>
      <c r="E49" s="5">
        <f t="shared" si="3"/>
        <v>3.04</v>
      </c>
      <c r="F49" s="5">
        <v>2</v>
      </c>
      <c r="G49" s="5">
        <f t="shared" si="1"/>
        <v>6.08</v>
      </c>
    </row>
    <row r="50" spans="1:7" x14ac:dyDescent="0.2">
      <c r="B50" s="5">
        <v>0.8</v>
      </c>
      <c r="C50" s="5">
        <v>3.8</v>
      </c>
      <c r="D50" s="5"/>
      <c r="E50" s="5">
        <f t="shared" si="3"/>
        <v>3.04</v>
      </c>
      <c r="F50" s="5">
        <v>2</v>
      </c>
      <c r="G50" s="5">
        <f t="shared" si="1"/>
        <v>6.08</v>
      </c>
    </row>
    <row r="51" spans="1:7" x14ac:dyDescent="0.2">
      <c r="A51" t="s">
        <v>235</v>
      </c>
      <c r="B51" s="5"/>
      <c r="C51" s="5"/>
      <c r="D51" s="5"/>
      <c r="E51" s="5"/>
      <c r="F51" s="5"/>
      <c r="G51" s="5">
        <f t="shared" si="1"/>
        <v>0</v>
      </c>
    </row>
    <row r="52" spans="1:7" x14ac:dyDescent="0.2">
      <c r="B52" s="5">
        <v>12.6</v>
      </c>
      <c r="C52" s="5">
        <v>2.8</v>
      </c>
      <c r="D52" s="5"/>
      <c r="E52" s="5">
        <f t="shared" si="3"/>
        <v>35.279999999999994</v>
      </c>
      <c r="F52" s="5">
        <v>1</v>
      </c>
      <c r="G52" s="5">
        <f t="shared" si="1"/>
        <v>35.279999999999994</v>
      </c>
    </row>
    <row r="53" spans="1:7" x14ac:dyDescent="0.2">
      <c r="B53" s="5"/>
      <c r="C53" s="5"/>
      <c r="D53" s="5"/>
      <c r="E53" s="5"/>
      <c r="F53" s="5"/>
      <c r="G53" s="5">
        <f t="shared" si="1"/>
        <v>0</v>
      </c>
    </row>
    <row r="54" spans="1:7" x14ac:dyDescent="0.2">
      <c r="A54" s="3" t="s">
        <v>236</v>
      </c>
      <c r="B54" s="5"/>
      <c r="C54" s="4"/>
      <c r="D54" s="4"/>
      <c r="E54" s="4"/>
      <c r="F54" s="5"/>
      <c r="G54" s="5">
        <f t="shared" si="1"/>
        <v>0</v>
      </c>
    </row>
    <row r="55" spans="1:7" x14ac:dyDescent="0.2">
      <c r="A55" t="s">
        <v>237</v>
      </c>
      <c r="B55" s="5"/>
      <c r="C55" s="5"/>
      <c r="D55" s="5"/>
      <c r="E55" s="5"/>
      <c r="F55" s="5"/>
      <c r="G55" s="5">
        <f t="shared" si="1"/>
        <v>0</v>
      </c>
    </row>
    <row r="56" spans="1:7" x14ac:dyDescent="0.2">
      <c r="B56" s="5">
        <v>25.3</v>
      </c>
      <c r="C56" s="5">
        <v>2.8</v>
      </c>
      <c r="D56" s="5"/>
      <c r="E56" s="5">
        <f t="shared" ref="E56:E85" si="4">B56*C56</f>
        <v>70.84</v>
      </c>
      <c r="F56" s="5">
        <v>1</v>
      </c>
      <c r="G56" s="5">
        <f t="shared" si="1"/>
        <v>70.84</v>
      </c>
    </row>
    <row r="57" spans="1:7" x14ac:dyDescent="0.2">
      <c r="B57" s="5">
        <v>9.1999999999999993</v>
      </c>
      <c r="C57" s="5">
        <v>2.8</v>
      </c>
      <c r="D57" s="5"/>
      <c r="E57" s="5">
        <f t="shared" si="4"/>
        <v>25.759999999999998</v>
      </c>
      <c r="F57" s="5">
        <v>1</v>
      </c>
      <c r="G57" s="5">
        <f t="shared" si="1"/>
        <v>25.759999999999998</v>
      </c>
    </row>
    <row r="58" spans="1:7" x14ac:dyDescent="0.2">
      <c r="B58" s="5">
        <v>4.9400000000000004</v>
      </c>
      <c r="C58" s="5">
        <v>2.8</v>
      </c>
      <c r="D58" s="5"/>
      <c r="E58" s="5">
        <f t="shared" si="4"/>
        <v>13.832000000000001</v>
      </c>
      <c r="F58" s="5">
        <v>1</v>
      </c>
      <c r="G58" s="5">
        <f t="shared" si="1"/>
        <v>13.832000000000001</v>
      </c>
    </row>
    <row r="59" spans="1:7" x14ac:dyDescent="0.2">
      <c r="B59" s="5">
        <v>12.36</v>
      </c>
      <c r="C59" s="5">
        <v>2.8</v>
      </c>
      <c r="D59" s="5"/>
      <c r="E59" s="5">
        <f t="shared" si="4"/>
        <v>34.607999999999997</v>
      </c>
      <c r="F59" s="5">
        <v>1</v>
      </c>
      <c r="G59" s="5">
        <f t="shared" si="1"/>
        <v>34.607999999999997</v>
      </c>
    </row>
    <row r="60" spans="1:7" x14ac:dyDescent="0.2">
      <c r="B60" s="5">
        <v>0.76</v>
      </c>
      <c r="C60" s="5">
        <v>2.8</v>
      </c>
      <c r="D60" s="5"/>
      <c r="E60" s="5">
        <f t="shared" si="4"/>
        <v>2.1279999999999997</v>
      </c>
      <c r="F60" s="5">
        <v>1</v>
      </c>
      <c r="G60" s="5">
        <f t="shared" si="1"/>
        <v>2.1279999999999997</v>
      </c>
    </row>
    <row r="61" spans="1:7" x14ac:dyDescent="0.2">
      <c r="B61" s="5">
        <v>0.76</v>
      </c>
      <c r="C61" s="5">
        <v>2.8</v>
      </c>
      <c r="D61" s="5"/>
      <c r="E61" s="5">
        <f t="shared" si="4"/>
        <v>2.1279999999999997</v>
      </c>
      <c r="F61" s="5">
        <v>1</v>
      </c>
      <c r="G61" s="5">
        <f t="shared" si="1"/>
        <v>2.1279999999999997</v>
      </c>
    </row>
    <row r="62" spans="1:7" x14ac:dyDescent="0.2">
      <c r="B62" s="5">
        <v>1.8</v>
      </c>
      <c r="C62" s="5">
        <v>2.8</v>
      </c>
      <c r="D62" s="5"/>
      <c r="E62" s="5">
        <f t="shared" si="4"/>
        <v>5.04</v>
      </c>
      <c r="F62" s="5">
        <v>1</v>
      </c>
      <c r="G62" s="5">
        <f t="shared" si="1"/>
        <v>5.04</v>
      </c>
    </row>
    <row r="63" spans="1:7" x14ac:dyDescent="0.2">
      <c r="B63" s="5">
        <v>-1.4</v>
      </c>
      <c r="C63" s="5">
        <v>2.5499999999999998</v>
      </c>
      <c r="D63" s="5"/>
      <c r="E63" s="5">
        <f t="shared" si="4"/>
        <v>-3.5699999999999994</v>
      </c>
      <c r="F63" s="5">
        <v>1</v>
      </c>
      <c r="G63" s="5">
        <f t="shared" si="1"/>
        <v>-3.5699999999999994</v>
      </c>
    </row>
    <row r="64" spans="1:7" x14ac:dyDescent="0.2">
      <c r="B64" s="5">
        <v>31.28</v>
      </c>
      <c r="C64" s="5">
        <v>2.8</v>
      </c>
      <c r="D64" s="5"/>
      <c r="E64" s="5">
        <f t="shared" si="4"/>
        <v>87.584000000000003</v>
      </c>
      <c r="F64" s="5">
        <v>1</v>
      </c>
      <c r="G64" s="5">
        <f t="shared" si="1"/>
        <v>87.584000000000003</v>
      </c>
    </row>
    <row r="65" spans="1:7" x14ac:dyDescent="0.2">
      <c r="B65" s="5">
        <v>2.2400000000000002</v>
      </c>
      <c r="C65" s="5">
        <v>2.8</v>
      </c>
      <c r="D65" s="5"/>
      <c r="E65" s="5">
        <f t="shared" si="4"/>
        <v>6.2720000000000002</v>
      </c>
      <c r="F65" s="5">
        <v>1</v>
      </c>
      <c r="G65" s="5">
        <f t="shared" si="1"/>
        <v>6.2720000000000002</v>
      </c>
    </row>
    <row r="66" spans="1:7" x14ac:dyDescent="0.2">
      <c r="A66" t="s">
        <v>230</v>
      </c>
      <c r="B66" s="5"/>
      <c r="C66" s="5"/>
      <c r="D66" s="5"/>
      <c r="E66" s="5"/>
      <c r="F66" s="5"/>
      <c r="G66" s="5">
        <f t="shared" si="1"/>
        <v>0</v>
      </c>
    </row>
    <row r="67" spans="1:7" x14ac:dyDescent="0.2">
      <c r="B67" s="5">
        <v>13.6</v>
      </c>
      <c r="C67" s="5">
        <v>3.8</v>
      </c>
      <c r="D67" s="5"/>
      <c r="E67" s="5">
        <f t="shared" si="4"/>
        <v>51.68</v>
      </c>
      <c r="F67" s="5">
        <v>2</v>
      </c>
      <c r="G67" s="5">
        <f t="shared" si="1"/>
        <v>103.36</v>
      </c>
    </row>
    <row r="68" spans="1:7" x14ac:dyDescent="0.2">
      <c r="B68" s="5">
        <v>-1.8</v>
      </c>
      <c r="C68" s="5">
        <v>3.8</v>
      </c>
      <c r="D68" s="5"/>
      <c r="E68" s="5">
        <f t="shared" si="4"/>
        <v>-6.84</v>
      </c>
      <c r="F68" s="5">
        <v>1</v>
      </c>
      <c r="G68" s="5">
        <f t="shared" si="1"/>
        <v>-6.84</v>
      </c>
    </row>
    <row r="69" spans="1:7" x14ac:dyDescent="0.2">
      <c r="B69" s="5">
        <v>-1.4</v>
      </c>
      <c r="C69" s="5">
        <v>3.8</v>
      </c>
      <c r="D69" s="5"/>
      <c r="E69" s="5">
        <f t="shared" si="4"/>
        <v>-5.3199999999999994</v>
      </c>
      <c r="F69" s="5">
        <v>1</v>
      </c>
      <c r="G69" s="5">
        <f t="shared" si="1"/>
        <v>-5.3199999999999994</v>
      </c>
    </row>
    <row r="70" spans="1:7" x14ac:dyDescent="0.2">
      <c r="A70" t="s">
        <v>238</v>
      </c>
      <c r="B70" s="5"/>
      <c r="C70" s="5"/>
      <c r="D70" s="5"/>
      <c r="E70" s="5"/>
      <c r="F70" s="5"/>
      <c r="G70" s="5">
        <f t="shared" ref="G70:G94" si="5">E70*F70</f>
        <v>0</v>
      </c>
    </row>
    <row r="71" spans="1:7" x14ac:dyDescent="0.2">
      <c r="B71" s="5">
        <v>12.48</v>
      </c>
      <c r="C71" s="5">
        <v>0.9</v>
      </c>
      <c r="D71" s="5"/>
      <c r="E71" s="5">
        <f t="shared" si="4"/>
        <v>11.232000000000001</v>
      </c>
      <c r="F71" s="5">
        <v>1</v>
      </c>
      <c r="G71" s="4"/>
    </row>
    <row r="72" spans="1:7" x14ac:dyDescent="0.2">
      <c r="B72" s="5">
        <v>12.48</v>
      </c>
      <c r="C72" s="5">
        <v>0.9</v>
      </c>
      <c r="D72" s="5"/>
      <c r="E72" s="5">
        <f t="shared" si="4"/>
        <v>11.232000000000001</v>
      </c>
      <c r="F72" s="5">
        <v>1</v>
      </c>
      <c r="G72" s="4"/>
    </row>
    <row r="73" spans="1:7" x14ac:dyDescent="0.2">
      <c r="B73" s="5">
        <v>12.36</v>
      </c>
      <c r="C73" s="5">
        <v>0.9</v>
      </c>
      <c r="D73" s="5"/>
      <c r="E73" s="5">
        <f t="shared" si="4"/>
        <v>11.124000000000001</v>
      </c>
      <c r="F73" s="5">
        <v>1</v>
      </c>
      <c r="G73" s="4"/>
    </row>
    <row r="74" spans="1:7" x14ac:dyDescent="0.2">
      <c r="B74" s="5"/>
      <c r="C74" s="5"/>
      <c r="D74" s="5"/>
      <c r="E74" s="5"/>
      <c r="F74" s="5"/>
      <c r="G74" s="5">
        <f t="shared" si="5"/>
        <v>0</v>
      </c>
    </row>
    <row r="75" spans="1:7" x14ac:dyDescent="0.2">
      <c r="A75" s="3" t="s">
        <v>239</v>
      </c>
      <c r="B75" s="5"/>
      <c r="C75" s="4"/>
      <c r="D75" s="4"/>
      <c r="E75" s="4"/>
      <c r="F75" s="5"/>
      <c r="G75" s="5">
        <f t="shared" si="5"/>
        <v>0</v>
      </c>
    </row>
    <row r="76" spans="1:7" x14ac:dyDescent="0.2">
      <c r="A76" t="s">
        <v>240</v>
      </c>
      <c r="B76" s="5"/>
      <c r="C76" s="5"/>
      <c r="D76" s="5"/>
      <c r="E76" s="5"/>
      <c r="F76" s="5"/>
      <c r="G76" s="5">
        <f t="shared" si="5"/>
        <v>0</v>
      </c>
    </row>
    <row r="77" spans="1:7" x14ac:dyDescent="0.2">
      <c r="B77" s="5">
        <v>18.45</v>
      </c>
      <c r="C77" s="5">
        <v>3.8</v>
      </c>
      <c r="D77" s="5"/>
      <c r="E77" s="5">
        <f t="shared" si="4"/>
        <v>70.11</v>
      </c>
      <c r="F77" s="5">
        <v>1</v>
      </c>
      <c r="G77" s="4"/>
    </row>
    <row r="78" spans="1:7" x14ac:dyDescent="0.2">
      <c r="B78" s="5">
        <v>0.84</v>
      </c>
      <c r="C78" s="5">
        <v>0.9</v>
      </c>
      <c r="D78" s="5"/>
      <c r="E78" s="5">
        <f t="shared" si="4"/>
        <v>0.75600000000000001</v>
      </c>
      <c r="F78" s="5">
        <v>1</v>
      </c>
      <c r="G78" s="4"/>
    </row>
    <row r="79" spans="1:7" x14ac:dyDescent="0.2">
      <c r="B79" s="5">
        <v>24.45</v>
      </c>
      <c r="C79" s="5">
        <v>3.8</v>
      </c>
      <c r="D79" s="5"/>
      <c r="E79" s="5">
        <f t="shared" si="4"/>
        <v>92.91</v>
      </c>
      <c r="F79" s="5">
        <v>1</v>
      </c>
      <c r="G79" s="4"/>
    </row>
    <row r="80" spans="1:7" x14ac:dyDescent="0.2">
      <c r="B80" s="5">
        <v>9.6</v>
      </c>
      <c r="C80" s="5">
        <v>0.9</v>
      </c>
      <c r="D80" s="5"/>
      <c r="E80" s="5">
        <f t="shared" si="4"/>
        <v>8.64</v>
      </c>
      <c r="F80" s="5">
        <v>1</v>
      </c>
      <c r="G80" s="4"/>
    </row>
    <row r="81" spans="1:7" x14ac:dyDescent="0.2">
      <c r="B81" s="5">
        <v>12.6</v>
      </c>
      <c r="C81" s="5">
        <v>0.9</v>
      </c>
      <c r="D81" s="5"/>
      <c r="E81" s="5">
        <f t="shared" si="4"/>
        <v>11.34</v>
      </c>
      <c r="F81" s="5">
        <v>1</v>
      </c>
      <c r="G81" s="4"/>
    </row>
    <row r="82" spans="1:7" x14ac:dyDescent="0.2">
      <c r="B82" s="5">
        <v>3.28</v>
      </c>
      <c r="C82" s="5">
        <v>0.9</v>
      </c>
      <c r="D82" s="5"/>
      <c r="E82" s="5">
        <f t="shared" si="4"/>
        <v>2.952</v>
      </c>
      <c r="F82" s="5">
        <v>1</v>
      </c>
      <c r="G82" s="4"/>
    </row>
    <row r="83" spans="1:7" x14ac:dyDescent="0.2">
      <c r="B83" s="5">
        <v>31</v>
      </c>
      <c r="C83" s="5">
        <v>0.9</v>
      </c>
      <c r="D83" s="5"/>
      <c r="E83" s="5">
        <f t="shared" si="4"/>
        <v>27.900000000000002</v>
      </c>
      <c r="F83" s="5">
        <v>1</v>
      </c>
      <c r="G83" s="4"/>
    </row>
    <row r="84" spans="1:7" x14ac:dyDescent="0.2">
      <c r="B84" s="5">
        <v>5.8</v>
      </c>
      <c r="C84" s="5">
        <v>0.9</v>
      </c>
      <c r="D84" s="5"/>
      <c r="E84" s="5">
        <f t="shared" si="4"/>
        <v>5.22</v>
      </c>
      <c r="F84" s="5">
        <v>1</v>
      </c>
      <c r="G84" s="4"/>
    </row>
    <row r="85" spans="1:7" x14ac:dyDescent="0.2">
      <c r="B85" s="5">
        <v>3.52</v>
      </c>
      <c r="C85" s="5">
        <v>0.9</v>
      </c>
      <c r="D85" s="5"/>
      <c r="E85" s="5">
        <f t="shared" si="4"/>
        <v>3.1680000000000001</v>
      </c>
      <c r="F85" s="5">
        <v>1</v>
      </c>
      <c r="G85" s="4"/>
    </row>
    <row r="86" spans="1:7" x14ac:dyDescent="0.2">
      <c r="B86" s="5"/>
      <c r="C86" s="5"/>
      <c r="D86" s="5"/>
      <c r="E86" s="5"/>
      <c r="F86" s="5"/>
      <c r="G86" s="5">
        <f t="shared" si="5"/>
        <v>0</v>
      </c>
    </row>
    <row r="87" spans="1:7" x14ac:dyDescent="0.2">
      <c r="A87" s="3" t="s">
        <v>241</v>
      </c>
      <c r="B87" s="5"/>
      <c r="C87" s="4"/>
      <c r="D87" s="4"/>
      <c r="E87" s="4"/>
      <c r="F87" s="5"/>
      <c r="G87" s="5">
        <f t="shared" si="5"/>
        <v>0</v>
      </c>
    </row>
    <row r="88" spans="1:7" x14ac:dyDescent="0.2">
      <c r="B88" s="5">
        <v>4.38</v>
      </c>
      <c r="C88" s="5">
        <v>3.8</v>
      </c>
      <c r="D88" s="5"/>
      <c r="E88" s="5">
        <f t="shared" ref="E88:E93" si="6">B88*C88</f>
        <v>16.643999999999998</v>
      </c>
      <c r="F88" s="5">
        <v>2</v>
      </c>
      <c r="G88" s="5">
        <f t="shared" si="5"/>
        <v>33.287999999999997</v>
      </c>
    </row>
    <row r="89" spans="1:7" x14ac:dyDescent="0.2">
      <c r="B89" s="5">
        <v>2.86</v>
      </c>
      <c r="C89" s="5">
        <v>3.8</v>
      </c>
      <c r="D89" s="5"/>
      <c r="E89" s="5">
        <f t="shared" si="6"/>
        <v>10.867999999999999</v>
      </c>
      <c r="F89" s="5">
        <v>2</v>
      </c>
      <c r="G89" s="5">
        <f t="shared" si="5"/>
        <v>21.735999999999997</v>
      </c>
    </row>
    <row r="90" spans="1:7" x14ac:dyDescent="0.2">
      <c r="B90" s="5">
        <v>2.86</v>
      </c>
      <c r="C90" s="5">
        <v>3.8</v>
      </c>
      <c r="D90" s="5"/>
      <c r="E90" s="5">
        <f t="shared" si="6"/>
        <v>10.867999999999999</v>
      </c>
      <c r="F90" s="5">
        <v>2</v>
      </c>
      <c r="G90" s="5">
        <f t="shared" si="5"/>
        <v>21.735999999999997</v>
      </c>
    </row>
    <row r="91" spans="1:7" x14ac:dyDescent="0.2">
      <c r="B91" s="5">
        <v>2.6</v>
      </c>
      <c r="C91" s="5">
        <v>3.8</v>
      </c>
      <c r="D91" s="5"/>
      <c r="E91" s="5">
        <f t="shared" si="6"/>
        <v>9.879999999999999</v>
      </c>
      <c r="F91" s="5">
        <v>2</v>
      </c>
      <c r="G91" s="5">
        <f t="shared" si="5"/>
        <v>19.759999999999998</v>
      </c>
    </row>
    <row r="92" spans="1:7" x14ac:dyDescent="0.2">
      <c r="B92" s="5">
        <v>0.8</v>
      </c>
      <c r="C92" s="5">
        <v>3.8</v>
      </c>
      <c r="D92" s="5"/>
      <c r="E92" s="5">
        <f t="shared" si="6"/>
        <v>3.04</v>
      </c>
      <c r="F92" s="5">
        <v>2</v>
      </c>
      <c r="G92" s="5">
        <f t="shared" si="5"/>
        <v>6.08</v>
      </c>
    </row>
    <row r="93" spans="1:7" x14ac:dyDescent="0.2">
      <c r="B93" s="5">
        <v>0.8</v>
      </c>
      <c r="C93" s="5">
        <v>3.8</v>
      </c>
      <c r="D93" s="5"/>
      <c r="E93" s="5">
        <f t="shared" si="6"/>
        <v>3.04</v>
      </c>
      <c r="F93" s="5">
        <v>2</v>
      </c>
      <c r="G93" s="5">
        <f t="shared" si="5"/>
        <v>6.08</v>
      </c>
    </row>
    <row r="94" spans="1:7" x14ac:dyDescent="0.2">
      <c r="B94" s="5"/>
      <c r="C94" s="5"/>
      <c r="D94" s="5"/>
      <c r="E94" s="5"/>
      <c r="F94" s="5"/>
      <c r="G94" s="5">
        <f t="shared" si="5"/>
        <v>0</v>
      </c>
    </row>
    <row r="95" spans="1:7" x14ac:dyDescent="0.2">
      <c r="B95" s="5"/>
      <c r="C95" s="5"/>
      <c r="D95" s="5"/>
      <c r="E95" s="5"/>
      <c r="F95" s="5"/>
      <c r="G95" s="5"/>
    </row>
    <row r="96" spans="1:7" x14ac:dyDescent="0.2">
      <c r="B96" s="5"/>
      <c r="C96" s="5"/>
      <c r="D96" s="5"/>
      <c r="E96" s="5"/>
      <c r="F96" s="5" t="s">
        <v>267</v>
      </c>
      <c r="G96" s="5">
        <f>SUM(G5:G95)</f>
        <v>1547.5909999999999</v>
      </c>
    </row>
    <row r="100" spans="1:4" x14ac:dyDescent="0.2">
      <c r="A100" s="3" t="s">
        <v>228</v>
      </c>
      <c r="B100" s="3"/>
      <c r="C100" s="3"/>
    </row>
    <row r="101" spans="1:4" x14ac:dyDescent="0.2">
      <c r="A101" t="s">
        <v>244</v>
      </c>
    </row>
    <row r="102" spans="1:4" x14ac:dyDescent="0.2">
      <c r="A102" t="s">
        <v>245</v>
      </c>
    </row>
    <row r="103" spans="1:4" x14ac:dyDescent="0.2">
      <c r="A103">
        <v>4.88</v>
      </c>
      <c r="B103">
        <v>2.8</v>
      </c>
      <c r="C103">
        <v>2</v>
      </c>
      <c r="D103">
        <f>(A103*B103)*C103</f>
        <v>27.327999999999999</v>
      </c>
    </row>
    <row r="104" spans="1:4" x14ac:dyDescent="0.2">
      <c r="A104">
        <v>4.2</v>
      </c>
      <c r="B104">
        <v>2.8</v>
      </c>
      <c r="C104">
        <v>2</v>
      </c>
      <c r="D104">
        <f t="shared" ref="D104:D122" si="7">(A104*B104)*C104</f>
        <v>23.52</v>
      </c>
    </row>
    <row r="105" spans="1:4" x14ac:dyDescent="0.2">
      <c r="A105">
        <v>4.71</v>
      </c>
      <c r="B105">
        <v>2.8</v>
      </c>
      <c r="C105">
        <v>2</v>
      </c>
      <c r="D105">
        <f t="shared" si="7"/>
        <v>26.375999999999998</v>
      </c>
    </row>
    <row r="106" spans="1:4" x14ac:dyDescent="0.2">
      <c r="A106">
        <v>4.71</v>
      </c>
      <c r="B106">
        <v>2.8</v>
      </c>
      <c r="C106">
        <v>2</v>
      </c>
      <c r="D106">
        <f t="shared" si="7"/>
        <v>26.375999999999998</v>
      </c>
    </row>
    <row r="107" spans="1:4" x14ac:dyDescent="0.2">
      <c r="A107">
        <v>-0.7</v>
      </c>
      <c r="B107">
        <v>2.5499999999999998</v>
      </c>
      <c r="C107">
        <v>2</v>
      </c>
      <c r="D107">
        <f>(A107*B107)*C107</f>
        <v>-3.5699999999999994</v>
      </c>
    </row>
    <row r="108" spans="1:4" x14ac:dyDescent="0.2">
      <c r="A108">
        <v>4.2</v>
      </c>
      <c r="B108">
        <v>2.8</v>
      </c>
      <c r="C108">
        <v>2</v>
      </c>
      <c r="D108">
        <f t="shared" si="7"/>
        <v>23.52</v>
      </c>
    </row>
    <row r="109" spans="1:4" x14ac:dyDescent="0.2">
      <c r="A109">
        <v>4.57</v>
      </c>
      <c r="B109">
        <v>2.8</v>
      </c>
      <c r="C109">
        <v>2</v>
      </c>
      <c r="D109">
        <f t="shared" si="7"/>
        <v>25.591999999999999</v>
      </c>
    </row>
    <row r="110" spans="1:4" x14ac:dyDescent="0.2">
      <c r="A110">
        <v>4.5199999999999996</v>
      </c>
      <c r="B110">
        <v>2.8</v>
      </c>
      <c r="C110">
        <v>2</v>
      </c>
      <c r="D110">
        <f t="shared" si="7"/>
        <v>25.311999999999998</v>
      </c>
    </row>
    <row r="111" spans="1:4" x14ac:dyDescent="0.2">
      <c r="A111">
        <v>3.13</v>
      </c>
      <c r="B111">
        <v>2.8</v>
      </c>
      <c r="C111">
        <v>2</v>
      </c>
      <c r="D111">
        <f t="shared" si="7"/>
        <v>17.527999999999999</v>
      </c>
    </row>
    <row r="112" spans="1:4" x14ac:dyDescent="0.2">
      <c r="A112">
        <v>-0.9</v>
      </c>
      <c r="B112">
        <v>2.5499999999999998</v>
      </c>
      <c r="C112">
        <v>2</v>
      </c>
      <c r="D112">
        <f t="shared" si="7"/>
        <v>-4.59</v>
      </c>
    </row>
    <row r="113" spans="1:4" x14ac:dyDescent="0.2">
      <c r="A113">
        <v>2.83</v>
      </c>
      <c r="B113">
        <v>2.8</v>
      </c>
      <c r="C113">
        <v>2</v>
      </c>
      <c r="D113">
        <f t="shared" si="7"/>
        <v>15.847999999999999</v>
      </c>
    </row>
    <row r="114" spans="1:4" x14ac:dyDescent="0.2">
      <c r="A114">
        <v>-0.7</v>
      </c>
      <c r="B114">
        <v>2.5499999999999998</v>
      </c>
      <c r="C114">
        <v>2</v>
      </c>
      <c r="D114">
        <f t="shared" si="7"/>
        <v>-3.5699999999999994</v>
      </c>
    </row>
    <row r="115" spans="1:4" x14ac:dyDescent="0.2">
      <c r="A115">
        <v>3.11</v>
      </c>
      <c r="B115">
        <v>2.8</v>
      </c>
      <c r="C115">
        <v>2</v>
      </c>
      <c r="D115">
        <f t="shared" si="7"/>
        <v>17.415999999999997</v>
      </c>
    </row>
    <row r="116" spans="1:4" x14ac:dyDescent="0.2">
      <c r="A116">
        <v>-0.7</v>
      </c>
      <c r="B116">
        <v>2.5499999999999998</v>
      </c>
      <c r="C116">
        <v>2</v>
      </c>
      <c r="D116">
        <f t="shared" si="7"/>
        <v>-3.5699999999999994</v>
      </c>
    </row>
    <row r="117" spans="1:4" x14ac:dyDescent="0.2">
      <c r="A117">
        <v>0.62</v>
      </c>
      <c r="B117">
        <v>2.8</v>
      </c>
      <c r="C117">
        <v>2</v>
      </c>
      <c r="D117">
        <f t="shared" si="7"/>
        <v>3.472</v>
      </c>
    </row>
    <row r="118" spans="1:4" x14ac:dyDescent="0.2">
      <c r="A118">
        <v>4.4800000000000004</v>
      </c>
      <c r="B118">
        <v>2.8</v>
      </c>
      <c r="C118">
        <v>2</v>
      </c>
      <c r="D118">
        <f t="shared" si="7"/>
        <v>25.088000000000001</v>
      </c>
    </row>
    <row r="119" spans="1:4" x14ac:dyDescent="0.2">
      <c r="A119">
        <v>3.28</v>
      </c>
      <c r="B119">
        <v>2.8</v>
      </c>
      <c r="C119">
        <v>2</v>
      </c>
      <c r="D119">
        <f t="shared" si="7"/>
        <v>18.367999999999999</v>
      </c>
    </row>
    <row r="120" spans="1:4" x14ac:dyDescent="0.2">
      <c r="A120">
        <v>3.28</v>
      </c>
      <c r="B120">
        <v>2.8</v>
      </c>
      <c r="C120">
        <v>2</v>
      </c>
      <c r="D120">
        <f t="shared" si="7"/>
        <v>18.367999999999999</v>
      </c>
    </row>
    <row r="121" spans="1:4" x14ac:dyDescent="0.2">
      <c r="A121">
        <v>0.94</v>
      </c>
      <c r="B121">
        <v>2.8</v>
      </c>
      <c r="C121">
        <v>2</v>
      </c>
      <c r="D121">
        <f t="shared" si="7"/>
        <v>5.2639999999999993</v>
      </c>
    </row>
    <row r="122" spans="1:4" x14ac:dyDescent="0.2">
      <c r="A122">
        <v>4.4800000000000004</v>
      </c>
      <c r="B122">
        <v>2.8</v>
      </c>
      <c r="C122">
        <v>2</v>
      </c>
      <c r="D122">
        <f t="shared" si="7"/>
        <v>25.088000000000001</v>
      </c>
    </row>
    <row r="123" spans="1:4" x14ac:dyDescent="0.2">
      <c r="A123" t="s">
        <v>246</v>
      </c>
    </row>
    <row r="124" spans="1:4" x14ac:dyDescent="0.2">
      <c r="A124">
        <v>6.08</v>
      </c>
      <c r="B124">
        <v>2.8</v>
      </c>
      <c r="C124">
        <v>6</v>
      </c>
      <c r="D124">
        <f>(A124*B124)*C124</f>
        <v>102.14399999999998</v>
      </c>
    </row>
    <row r="125" spans="1:4" x14ac:dyDescent="0.2">
      <c r="A125">
        <v>-0.9</v>
      </c>
      <c r="B125">
        <v>2.5499999999999998</v>
      </c>
      <c r="D125">
        <f t="shared" ref="D125" si="8">A125*B125</f>
        <v>-2.2949999999999999</v>
      </c>
    </row>
    <row r="126" spans="1:4" x14ac:dyDescent="0.2">
      <c r="A126">
        <v>2.54</v>
      </c>
      <c r="B126">
        <v>2.8</v>
      </c>
      <c r="C126">
        <v>2</v>
      </c>
      <c r="D126">
        <f t="shared" ref="D126:D130" si="9">(A126*B126)*C126</f>
        <v>14.223999999999998</v>
      </c>
    </row>
    <row r="127" spans="1:4" x14ac:dyDescent="0.2">
      <c r="A127">
        <v>4.88</v>
      </c>
      <c r="B127">
        <v>2.8</v>
      </c>
      <c r="C127">
        <v>2</v>
      </c>
      <c r="D127">
        <f t="shared" si="9"/>
        <v>27.327999999999999</v>
      </c>
    </row>
    <row r="128" spans="1:4" x14ac:dyDescent="0.2">
      <c r="A128">
        <v>3.28</v>
      </c>
      <c r="B128">
        <v>2.8</v>
      </c>
      <c r="C128">
        <v>2</v>
      </c>
      <c r="D128">
        <f t="shared" si="9"/>
        <v>18.367999999999999</v>
      </c>
    </row>
    <row r="129" spans="1:4" x14ac:dyDescent="0.2">
      <c r="A129">
        <v>5.4</v>
      </c>
      <c r="B129">
        <v>2.8</v>
      </c>
      <c r="C129">
        <v>2</v>
      </c>
      <c r="D129">
        <f t="shared" si="9"/>
        <v>30.24</v>
      </c>
    </row>
    <row r="130" spans="1:4" x14ac:dyDescent="0.2">
      <c r="A130">
        <v>5.38</v>
      </c>
      <c r="B130">
        <v>2.8</v>
      </c>
      <c r="C130">
        <v>2</v>
      </c>
      <c r="D130">
        <f t="shared" si="9"/>
        <v>30.127999999999997</v>
      </c>
    </row>
    <row r="131" spans="1:4" x14ac:dyDescent="0.2">
      <c r="A131">
        <v>-0.9</v>
      </c>
      <c r="B131">
        <v>2.5499999999999998</v>
      </c>
      <c r="C131">
        <v>3</v>
      </c>
      <c r="D131">
        <f>(A131*B131)*C131</f>
        <v>-6.8849999999999998</v>
      </c>
    </row>
    <row r="132" spans="1:4" x14ac:dyDescent="0.2">
      <c r="A132">
        <v>-1.74</v>
      </c>
      <c r="B132">
        <v>1.65</v>
      </c>
      <c r="D132">
        <f t="shared" ref="D132" si="10">A132*B132</f>
        <v>-2.871</v>
      </c>
    </row>
    <row r="133" spans="1:4" x14ac:dyDescent="0.2">
      <c r="A133">
        <v>5.38</v>
      </c>
      <c r="B133">
        <v>2.8</v>
      </c>
      <c r="C133">
        <v>2</v>
      </c>
      <c r="D133">
        <f t="shared" ref="D133" si="11">(A133*B133)*C133</f>
        <v>30.127999999999997</v>
      </c>
    </row>
    <row r="134" spans="1:4" x14ac:dyDescent="0.2">
      <c r="A134">
        <v>-0.9</v>
      </c>
      <c r="B134">
        <v>2.5499999999999998</v>
      </c>
      <c r="C134">
        <v>3</v>
      </c>
      <c r="D134">
        <f>(A134*B134)*C134</f>
        <v>-6.8849999999999998</v>
      </c>
    </row>
    <row r="135" spans="1:4" x14ac:dyDescent="0.2">
      <c r="A135">
        <v>-1.74</v>
      </c>
      <c r="B135">
        <v>1.65</v>
      </c>
      <c r="D135">
        <f t="shared" ref="D135" si="12">A135*B135</f>
        <v>-2.871</v>
      </c>
    </row>
    <row r="136" spans="1:4" x14ac:dyDescent="0.2">
      <c r="A136">
        <v>1.6</v>
      </c>
      <c r="B136">
        <v>2.8</v>
      </c>
      <c r="C136">
        <v>2</v>
      </c>
      <c r="D136">
        <f t="shared" ref="D136:D138" si="13">(A136*B136)*C136</f>
        <v>8.9599999999999991</v>
      </c>
    </row>
    <row r="137" spans="1:4" x14ac:dyDescent="0.2">
      <c r="A137" t="s">
        <v>248</v>
      </c>
    </row>
    <row r="138" spans="1:4" x14ac:dyDescent="0.2">
      <c r="A138">
        <v>7.46</v>
      </c>
      <c r="B138">
        <v>2.8</v>
      </c>
      <c r="C138">
        <v>2</v>
      </c>
      <c r="D138">
        <f t="shared" si="13"/>
        <v>41.775999999999996</v>
      </c>
    </row>
    <row r="139" spans="1:4" x14ac:dyDescent="0.2">
      <c r="A139">
        <v>-0.9</v>
      </c>
      <c r="B139">
        <v>2.5499999999999998</v>
      </c>
      <c r="C139">
        <v>2</v>
      </c>
      <c r="D139">
        <f>(A139*B139)*C139</f>
        <v>-4.59</v>
      </c>
    </row>
    <row r="140" spans="1:4" x14ac:dyDescent="0.2">
      <c r="A140">
        <v>-2.38</v>
      </c>
      <c r="B140">
        <v>1.65</v>
      </c>
      <c r="D140">
        <f t="shared" ref="D140:D157" si="14">A140*B140</f>
        <v>-3.9269999999999996</v>
      </c>
    </row>
    <row r="141" spans="1:4" x14ac:dyDescent="0.2">
      <c r="A141">
        <v>-1.72</v>
      </c>
      <c r="B141">
        <v>1.65</v>
      </c>
      <c r="D141">
        <f t="shared" si="14"/>
        <v>-2.8379999999999996</v>
      </c>
    </row>
    <row r="142" spans="1:4" x14ac:dyDescent="0.2">
      <c r="A142">
        <v>3.44</v>
      </c>
      <c r="B142">
        <v>2.8</v>
      </c>
      <c r="C142">
        <v>2</v>
      </c>
      <c r="D142">
        <f t="shared" ref="D142" si="15">(A142*B142)*C142</f>
        <v>19.263999999999999</v>
      </c>
    </row>
    <row r="143" spans="1:4" x14ac:dyDescent="0.2">
      <c r="A143">
        <v>-2.54</v>
      </c>
      <c r="B143">
        <v>1.65</v>
      </c>
      <c r="D143">
        <f t="shared" si="14"/>
        <v>-4.1909999999999998</v>
      </c>
    </row>
    <row r="144" spans="1:4" x14ac:dyDescent="0.2">
      <c r="A144">
        <v>-0.9</v>
      </c>
      <c r="B144">
        <v>2.5499999999999998</v>
      </c>
      <c r="D144">
        <f t="shared" si="14"/>
        <v>-2.2949999999999999</v>
      </c>
    </row>
    <row r="145" spans="1:4" x14ac:dyDescent="0.2">
      <c r="A145">
        <v>8.7200000000000006</v>
      </c>
      <c r="B145">
        <v>3.8</v>
      </c>
      <c r="C145">
        <v>2</v>
      </c>
      <c r="D145">
        <f t="shared" ref="D145:D147" si="16">(A145*B145)*C145</f>
        <v>66.272000000000006</v>
      </c>
    </row>
    <row r="146" spans="1:4" x14ac:dyDescent="0.2">
      <c r="A146">
        <v>-0.9</v>
      </c>
      <c r="B146">
        <v>2.5499999999999998</v>
      </c>
      <c r="C146">
        <v>3</v>
      </c>
      <c r="D146">
        <f>(A146*B146)*C146</f>
        <v>-6.8849999999999998</v>
      </c>
    </row>
    <row r="147" spans="1:4" x14ac:dyDescent="0.2">
      <c r="A147">
        <v>0.7</v>
      </c>
      <c r="B147">
        <v>2.5499999999999998</v>
      </c>
      <c r="C147">
        <v>2</v>
      </c>
      <c r="D147">
        <f t="shared" si="16"/>
        <v>3.5699999999999994</v>
      </c>
    </row>
    <row r="148" spans="1:4" x14ac:dyDescent="0.2">
      <c r="A148">
        <v>-1.72</v>
      </c>
      <c r="B148">
        <v>1.65</v>
      </c>
      <c r="D148">
        <f t="shared" si="14"/>
        <v>-2.8379999999999996</v>
      </c>
    </row>
    <row r="149" spans="1:4" x14ac:dyDescent="0.2">
      <c r="A149">
        <v>1.2</v>
      </c>
      <c r="B149">
        <v>3.8</v>
      </c>
      <c r="C149">
        <v>8</v>
      </c>
      <c r="D149">
        <f>(A149*B149)*C149</f>
        <v>36.479999999999997</v>
      </c>
    </row>
    <row r="150" spans="1:4" x14ac:dyDescent="0.2">
      <c r="A150">
        <v>2.74</v>
      </c>
      <c r="B150">
        <v>2.8</v>
      </c>
      <c r="C150">
        <v>2</v>
      </c>
      <c r="D150">
        <f t="shared" ref="D150" si="17">(A150*B150)*C150</f>
        <v>15.343999999999999</v>
      </c>
    </row>
    <row r="151" spans="1:4" x14ac:dyDescent="0.2">
      <c r="A151">
        <v>1.18</v>
      </c>
      <c r="B151">
        <v>2.8</v>
      </c>
      <c r="C151">
        <v>4</v>
      </c>
      <c r="D151">
        <f>(A151*B151)*C151</f>
        <v>13.215999999999999</v>
      </c>
    </row>
    <row r="152" spans="1:4" x14ac:dyDescent="0.2">
      <c r="A152">
        <v>-0.7</v>
      </c>
      <c r="B152">
        <v>2.5499999999999998</v>
      </c>
      <c r="D152">
        <f t="shared" si="14"/>
        <v>-1.7849999999999997</v>
      </c>
    </row>
    <row r="153" spans="1:4" x14ac:dyDescent="0.2">
      <c r="A153">
        <v>2.38</v>
      </c>
      <c r="B153">
        <v>2.8</v>
      </c>
      <c r="C153">
        <v>2</v>
      </c>
      <c r="D153">
        <f>(A153*B153)*C153</f>
        <v>13.327999999999999</v>
      </c>
    </row>
    <row r="154" spans="1:4" x14ac:dyDescent="0.2">
      <c r="A154">
        <v>-2.38</v>
      </c>
      <c r="B154">
        <v>1.65</v>
      </c>
      <c r="D154">
        <f t="shared" si="14"/>
        <v>-3.9269999999999996</v>
      </c>
    </row>
    <row r="155" spans="1:4" x14ac:dyDescent="0.2">
      <c r="A155">
        <v>10.7</v>
      </c>
      <c r="B155">
        <v>2.8</v>
      </c>
      <c r="C155">
        <v>2</v>
      </c>
      <c r="D155">
        <f>(A155*B155)*C155</f>
        <v>59.919999999999995</v>
      </c>
    </row>
    <row r="156" spans="1:4" x14ac:dyDescent="0.2">
      <c r="A156">
        <v>-0.9</v>
      </c>
      <c r="B156">
        <v>2.5499999999999998</v>
      </c>
      <c r="C156">
        <v>3</v>
      </c>
      <c r="D156">
        <f>(A156*B156)*C156</f>
        <v>-6.8849999999999998</v>
      </c>
    </row>
    <row r="157" spans="1:4" x14ac:dyDescent="0.2">
      <c r="A157">
        <v>-1.4</v>
      </c>
      <c r="B157">
        <v>2.5499999999999998</v>
      </c>
      <c r="D157">
        <f t="shared" si="14"/>
        <v>-3.5699999999999994</v>
      </c>
    </row>
    <row r="158" spans="1:4" x14ac:dyDescent="0.2">
      <c r="A158" t="s">
        <v>247</v>
      </c>
    </row>
    <row r="159" spans="1:4" x14ac:dyDescent="0.2">
      <c r="A159">
        <v>1.66</v>
      </c>
      <c r="B159">
        <v>2.8</v>
      </c>
      <c r="C159">
        <v>6</v>
      </c>
      <c r="D159">
        <f>(A159*B159)*C159</f>
        <v>27.887999999999998</v>
      </c>
    </row>
    <row r="160" spans="1:4" x14ac:dyDescent="0.2">
      <c r="A160">
        <v>-0.7</v>
      </c>
      <c r="B160">
        <v>2.5499999999999998</v>
      </c>
      <c r="C160">
        <v>3</v>
      </c>
      <c r="D160">
        <f>(A160*B160)*C160</f>
        <v>-5.3549999999999986</v>
      </c>
    </row>
    <row r="161" spans="1:4" x14ac:dyDescent="0.2">
      <c r="A161">
        <v>2.2599999999999998</v>
      </c>
      <c r="B161">
        <v>3.8</v>
      </c>
      <c r="C161">
        <v>2</v>
      </c>
      <c r="D161">
        <f t="shared" ref="D161:D167" si="18">(A161*B161)*C161</f>
        <v>17.175999999999998</v>
      </c>
    </row>
    <row r="162" spans="1:4" x14ac:dyDescent="0.2">
      <c r="A162">
        <v>2.54</v>
      </c>
      <c r="B162">
        <v>2.8</v>
      </c>
      <c r="C162">
        <v>2</v>
      </c>
      <c r="D162">
        <f t="shared" si="18"/>
        <v>14.223999999999998</v>
      </c>
    </row>
    <row r="163" spans="1:4" x14ac:dyDescent="0.2">
      <c r="A163">
        <v>2.72</v>
      </c>
      <c r="B163">
        <v>2.8</v>
      </c>
      <c r="C163">
        <v>2</v>
      </c>
      <c r="D163">
        <f t="shared" si="18"/>
        <v>15.231999999999999</v>
      </c>
    </row>
    <row r="164" spans="1:4" x14ac:dyDescent="0.2">
      <c r="A164">
        <v>-0.9</v>
      </c>
      <c r="B164">
        <v>2.5499999999999998</v>
      </c>
      <c r="D164">
        <f t="shared" ref="D164:D175" si="19">A164*B164</f>
        <v>-2.2949999999999999</v>
      </c>
    </row>
    <row r="165" spans="1:4" x14ac:dyDescent="0.2">
      <c r="A165">
        <v>4.78</v>
      </c>
      <c r="B165">
        <v>2.8</v>
      </c>
      <c r="C165">
        <v>2</v>
      </c>
      <c r="D165">
        <f t="shared" si="18"/>
        <v>26.768000000000001</v>
      </c>
    </row>
    <row r="166" spans="1:4" x14ac:dyDescent="0.2">
      <c r="A166">
        <v>-1.4</v>
      </c>
      <c r="B166">
        <v>2.5499999999999998</v>
      </c>
      <c r="D166">
        <f t="shared" si="19"/>
        <v>-3.5699999999999994</v>
      </c>
    </row>
    <row r="167" spans="1:4" x14ac:dyDescent="0.2">
      <c r="A167">
        <v>2.62</v>
      </c>
      <c r="B167">
        <v>2.8</v>
      </c>
      <c r="C167">
        <v>2</v>
      </c>
      <c r="D167">
        <f t="shared" si="18"/>
        <v>14.671999999999999</v>
      </c>
    </row>
    <row r="168" spans="1:4" x14ac:dyDescent="0.2">
      <c r="A168">
        <v>0.76</v>
      </c>
      <c r="B168">
        <v>2.8</v>
      </c>
      <c r="C168">
        <v>8</v>
      </c>
      <c r="D168">
        <f>(A168*B168)*C168</f>
        <v>17.023999999999997</v>
      </c>
    </row>
    <row r="169" spans="1:4" x14ac:dyDescent="0.2">
      <c r="A169">
        <v>1.94</v>
      </c>
      <c r="B169">
        <v>2.8</v>
      </c>
      <c r="C169">
        <v>2</v>
      </c>
      <c r="D169">
        <f t="shared" ref="D169:D173" si="20">(A169*B169)*C169</f>
        <v>10.863999999999999</v>
      </c>
    </row>
    <row r="170" spans="1:4" x14ac:dyDescent="0.2">
      <c r="A170">
        <v>0.8</v>
      </c>
      <c r="B170">
        <v>2.8</v>
      </c>
      <c r="C170">
        <v>2</v>
      </c>
      <c r="D170">
        <f t="shared" si="20"/>
        <v>4.4799999999999995</v>
      </c>
    </row>
    <row r="171" spans="1:4" x14ac:dyDescent="0.2">
      <c r="A171">
        <v>4.0599999999999996</v>
      </c>
      <c r="B171">
        <v>2.8</v>
      </c>
      <c r="C171">
        <v>6</v>
      </c>
      <c r="D171">
        <f t="shared" si="20"/>
        <v>68.207999999999998</v>
      </c>
    </row>
    <row r="172" spans="1:4" x14ac:dyDescent="0.2">
      <c r="A172">
        <v>3.66</v>
      </c>
      <c r="B172">
        <v>2.8</v>
      </c>
      <c r="C172">
        <v>2</v>
      </c>
      <c r="D172">
        <f t="shared" si="20"/>
        <v>20.495999999999999</v>
      </c>
    </row>
    <row r="173" spans="1:4" x14ac:dyDescent="0.2">
      <c r="A173">
        <v>6.1</v>
      </c>
      <c r="B173">
        <v>2.8</v>
      </c>
      <c r="C173">
        <v>2</v>
      </c>
      <c r="D173">
        <f t="shared" si="20"/>
        <v>34.159999999999997</v>
      </c>
    </row>
    <row r="174" spans="1:4" x14ac:dyDescent="0.2">
      <c r="A174">
        <v>-0.9</v>
      </c>
      <c r="B174">
        <v>2.5499999999999998</v>
      </c>
      <c r="D174">
        <f t="shared" si="19"/>
        <v>-2.2949999999999999</v>
      </c>
    </row>
    <row r="175" spans="1:4" x14ac:dyDescent="0.2">
      <c r="A175">
        <v>-1.1499999999999999</v>
      </c>
      <c r="B175">
        <v>1.65</v>
      </c>
      <c r="D175">
        <f t="shared" si="19"/>
        <v>-1.8974999999999997</v>
      </c>
    </row>
    <row r="177" spans="1:4" x14ac:dyDescent="0.2">
      <c r="A177" s="3" t="s">
        <v>236</v>
      </c>
      <c r="B177" s="3"/>
      <c r="C177" s="3"/>
    </row>
    <row r="178" spans="1:4" x14ac:dyDescent="0.2">
      <c r="A178" t="s">
        <v>249</v>
      </c>
    </row>
    <row r="179" spans="1:4" x14ac:dyDescent="0.2">
      <c r="A179">
        <v>7.46</v>
      </c>
      <c r="B179">
        <v>2.8</v>
      </c>
      <c r="C179">
        <v>2</v>
      </c>
      <c r="D179">
        <f t="shared" ref="D179" si="21">(A179*B179)*C179</f>
        <v>41.775999999999996</v>
      </c>
    </row>
    <row r="180" spans="1:4" x14ac:dyDescent="0.2">
      <c r="A180">
        <v>-3</v>
      </c>
      <c r="B180">
        <v>1.65</v>
      </c>
      <c r="D180">
        <f t="shared" ref="D180:D200" si="22">A180*B180</f>
        <v>-4.9499999999999993</v>
      </c>
    </row>
    <row r="181" spans="1:4" x14ac:dyDescent="0.2">
      <c r="A181">
        <v>-0.9</v>
      </c>
      <c r="B181">
        <v>2.5499999999999998</v>
      </c>
      <c r="D181">
        <f t="shared" si="22"/>
        <v>-2.2949999999999999</v>
      </c>
    </row>
    <row r="182" spans="1:4" x14ac:dyDescent="0.2">
      <c r="A182">
        <v>-2</v>
      </c>
      <c r="B182">
        <v>1.65</v>
      </c>
      <c r="D182">
        <f t="shared" si="22"/>
        <v>-3.3</v>
      </c>
    </row>
    <row r="183" spans="1:4" x14ac:dyDescent="0.2">
      <c r="A183">
        <v>-0.7</v>
      </c>
      <c r="B183">
        <v>2.5499999999999998</v>
      </c>
      <c r="D183">
        <f t="shared" si="22"/>
        <v>-1.7849999999999997</v>
      </c>
    </row>
    <row r="184" spans="1:4" x14ac:dyDescent="0.2">
      <c r="A184">
        <v>0.6</v>
      </c>
      <c r="B184">
        <v>2.8</v>
      </c>
      <c r="C184">
        <v>2</v>
      </c>
      <c r="D184">
        <f t="shared" ref="D184:D189" si="23">(A184*B184)*C184</f>
        <v>3.36</v>
      </c>
    </row>
    <row r="185" spans="1:4" x14ac:dyDescent="0.2">
      <c r="A185">
        <v>1.2</v>
      </c>
      <c r="B185">
        <v>2.8</v>
      </c>
      <c r="C185">
        <v>4</v>
      </c>
      <c r="D185">
        <f t="shared" si="23"/>
        <v>13.44</v>
      </c>
    </row>
    <row r="186" spans="1:4" x14ac:dyDescent="0.2">
      <c r="A186">
        <v>3.44</v>
      </c>
      <c r="B186">
        <v>2.8</v>
      </c>
      <c r="C186">
        <v>2</v>
      </c>
      <c r="D186">
        <f t="shared" si="23"/>
        <v>19.263999999999999</v>
      </c>
    </row>
    <row r="187" spans="1:4" x14ac:dyDescent="0.2">
      <c r="A187">
        <v>-3.44</v>
      </c>
      <c r="B187">
        <v>2.5499999999999998</v>
      </c>
      <c r="D187">
        <f t="shared" si="22"/>
        <v>-8.7719999999999985</v>
      </c>
    </row>
    <row r="188" spans="1:4" x14ac:dyDescent="0.2">
      <c r="A188">
        <v>1.2</v>
      </c>
      <c r="B188">
        <v>2.8</v>
      </c>
      <c r="C188">
        <v>4</v>
      </c>
      <c r="D188">
        <f t="shared" si="23"/>
        <v>13.44</v>
      </c>
    </row>
    <row r="189" spans="1:4" x14ac:dyDescent="0.2">
      <c r="A189">
        <v>12.36</v>
      </c>
      <c r="B189">
        <v>2.8</v>
      </c>
      <c r="C189">
        <v>2</v>
      </c>
      <c r="D189">
        <f t="shared" si="23"/>
        <v>69.215999999999994</v>
      </c>
    </row>
    <row r="190" spans="1:4" x14ac:dyDescent="0.2">
      <c r="A190">
        <v>-0.7</v>
      </c>
      <c r="B190">
        <v>2.5499999999999998</v>
      </c>
      <c r="D190">
        <f t="shared" si="22"/>
        <v>-1.7849999999999997</v>
      </c>
    </row>
    <row r="191" spans="1:4" x14ac:dyDescent="0.2">
      <c r="A191">
        <v>-0.9</v>
      </c>
      <c r="B191">
        <v>2.5499999999999998</v>
      </c>
      <c r="C191">
        <v>3</v>
      </c>
      <c r="D191">
        <f>(A191*B191)*C191</f>
        <v>-6.8849999999999998</v>
      </c>
    </row>
    <row r="192" spans="1:4" x14ac:dyDescent="0.2">
      <c r="A192">
        <v>-2.5499999999999998</v>
      </c>
      <c r="B192">
        <v>1.65</v>
      </c>
      <c r="D192">
        <f t="shared" si="22"/>
        <v>-4.2074999999999996</v>
      </c>
    </row>
    <row r="193" spans="1:4" x14ac:dyDescent="0.2">
      <c r="A193">
        <v>1.18</v>
      </c>
      <c r="B193">
        <v>2.8</v>
      </c>
      <c r="C193">
        <v>2</v>
      </c>
      <c r="D193">
        <f t="shared" si="22"/>
        <v>3.3039999999999998</v>
      </c>
    </row>
    <row r="194" spans="1:4" x14ac:dyDescent="0.2">
      <c r="A194">
        <v>-0.7</v>
      </c>
      <c r="B194">
        <v>2.5499999999999998</v>
      </c>
      <c r="D194">
        <f t="shared" si="22"/>
        <v>-1.7849999999999997</v>
      </c>
    </row>
    <row r="195" spans="1:4" x14ac:dyDescent="0.2">
      <c r="A195">
        <v>2.38</v>
      </c>
      <c r="B195">
        <v>2.8</v>
      </c>
      <c r="C195">
        <v>2</v>
      </c>
      <c r="D195">
        <f t="shared" ref="D195" si="24">(A195*B195)*C195</f>
        <v>13.327999999999999</v>
      </c>
    </row>
    <row r="196" spans="1:4" x14ac:dyDescent="0.2">
      <c r="A196">
        <v>-2.38</v>
      </c>
      <c r="B196">
        <v>1.65</v>
      </c>
      <c r="D196">
        <f t="shared" si="22"/>
        <v>-3.9269999999999996</v>
      </c>
    </row>
    <row r="197" spans="1:4" x14ac:dyDescent="0.2">
      <c r="A197" t="s">
        <v>250</v>
      </c>
    </row>
    <row r="198" spans="1:4" x14ac:dyDescent="0.2">
      <c r="A198">
        <v>14</v>
      </c>
      <c r="B198">
        <v>2.8</v>
      </c>
      <c r="C198">
        <v>2</v>
      </c>
      <c r="D198">
        <f t="shared" ref="D198" si="25">(A198*B198)*C198</f>
        <v>78.399999999999991</v>
      </c>
    </row>
    <row r="199" spans="1:4" x14ac:dyDescent="0.2">
      <c r="A199">
        <v>-6.1</v>
      </c>
      <c r="B199">
        <v>2.5499999999999998</v>
      </c>
      <c r="D199">
        <f t="shared" si="22"/>
        <v>-15.554999999999998</v>
      </c>
    </row>
    <row r="200" spans="1:4" x14ac:dyDescent="0.2">
      <c r="A200">
        <v>-7.5</v>
      </c>
      <c r="B200">
        <v>2.5499999999999998</v>
      </c>
      <c r="D200">
        <f t="shared" si="22"/>
        <v>-19.125</v>
      </c>
    </row>
    <row r="202" spans="1:4" x14ac:dyDescent="0.2">
      <c r="A202" t="s">
        <v>251</v>
      </c>
    </row>
    <row r="203" spans="1:4" x14ac:dyDescent="0.2">
      <c r="A203">
        <v>4.88</v>
      </c>
      <c r="B203">
        <v>2.8</v>
      </c>
      <c r="C203">
        <v>2</v>
      </c>
      <c r="D203">
        <f t="shared" ref="D203:D208" si="26">(A203*B203)*C203</f>
        <v>27.327999999999999</v>
      </c>
    </row>
    <row r="204" spans="1:4" x14ac:dyDescent="0.2">
      <c r="A204">
        <v>4.5999999999999996</v>
      </c>
      <c r="B204">
        <v>2.8</v>
      </c>
      <c r="C204">
        <v>2</v>
      </c>
      <c r="D204">
        <f t="shared" si="26"/>
        <v>25.759999999999998</v>
      </c>
    </row>
    <row r="205" spans="1:4" x14ac:dyDescent="0.2">
      <c r="A205">
        <v>4.82</v>
      </c>
      <c r="B205">
        <v>2.8</v>
      </c>
      <c r="C205">
        <v>2</v>
      </c>
      <c r="D205">
        <f t="shared" si="26"/>
        <v>26.992000000000001</v>
      </c>
    </row>
    <row r="206" spans="1:4" x14ac:dyDescent="0.2">
      <c r="A206">
        <v>-0.7</v>
      </c>
      <c r="B206">
        <v>2.5499999999999998</v>
      </c>
      <c r="C206">
        <v>2</v>
      </c>
      <c r="D206">
        <f t="shared" ref="D206:D220" si="27">A206*B206</f>
        <v>-1.7849999999999997</v>
      </c>
    </row>
    <row r="207" spans="1:4" x14ac:dyDescent="0.2">
      <c r="A207">
        <v>4.71</v>
      </c>
      <c r="B207">
        <v>2.8</v>
      </c>
      <c r="C207">
        <v>2</v>
      </c>
      <c r="D207">
        <f t="shared" si="26"/>
        <v>26.375999999999998</v>
      </c>
    </row>
    <row r="208" spans="1:4" x14ac:dyDescent="0.2">
      <c r="A208">
        <v>4.68</v>
      </c>
      <c r="B208">
        <v>2.8</v>
      </c>
      <c r="C208">
        <v>2</v>
      </c>
      <c r="D208">
        <f t="shared" si="26"/>
        <v>26.207999999999998</v>
      </c>
    </row>
    <row r="209" spans="1:4" x14ac:dyDescent="0.2">
      <c r="A209">
        <v>-0.7</v>
      </c>
      <c r="B209">
        <v>2.5499999999999998</v>
      </c>
      <c r="D209">
        <f t="shared" si="27"/>
        <v>-1.7849999999999997</v>
      </c>
    </row>
    <row r="210" spans="1:4" x14ac:dyDescent="0.2">
      <c r="A210">
        <v>4.2</v>
      </c>
      <c r="B210">
        <v>2.8</v>
      </c>
      <c r="D210">
        <f t="shared" si="27"/>
        <v>11.76</v>
      </c>
    </row>
    <row r="211" spans="1:4" x14ac:dyDescent="0.2">
      <c r="A211">
        <v>4.57</v>
      </c>
      <c r="B211">
        <v>2.8</v>
      </c>
      <c r="C211">
        <v>2</v>
      </c>
      <c r="D211">
        <f t="shared" ref="D211:D213" si="28">(A211*B211)*C211</f>
        <v>25.591999999999999</v>
      </c>
    </row>
    <row r="212" spans="1:4" x14ac:dyDescent="0.2">
      <c r="A212">
        <v>4.4000000000000004</v>
      </c>
      <c r="B212">
        <v>2.8</v>
      </c>
      <c r="C212">
        <v>2</v>
      </c>
      <c r="D212">
        <f t="shared" si="28"/>
        <v>24.64</v>
      </c>
    </row>
    <row r="213" spans="1:4" x14ac:dyDescent="0.2">
      <c r="A213">
        <v>4.2</v>
      </c>
      <c r="B213">
        <v>2.8</v>
      </c>
      <c r="C213">
        <v>2</v>
      </c>
      <c r="D213">
        <f t="shared" si="28"/>
        <v>23.52</v>
      </c>
    </row>
    <row r="214" spans="1:4" x14ac:dyDescent="0.2">
      <c r="A214">
        <v>-0.9</v>
      </c>
      <c r="B214">
        <v>2.5499999999999998</v>
      </c>
      <c r="D214">
        <f t="shared" si="27"/>
        <v>-2.2949999999999999</v>
      </c>
    </row>
    <row r="215" spans="1:4" x14ac:dyDescent="0.2">
      <c r="A215">
        <v>-0.7</v>
      </c>
      <c r="B215">
        <v>2.5499999999999998</v>
      </c>
      <c r="D215">
        <f t="shared" si="27"/>
        <v>-1.7849999999999997</v>
      </c>
    </row>
    <row r="216" spans="1:4" x14ac:dyDescent="0.2">
      <c r="A216">
        <v>0.62</v>
      </c>
      <c r="B216">
        <v>2.8</v>
      </c>
      <c r="C216">
        <v>4</v>
      </c>
      <c r="D216">
        <f t="shared" ref="D216:D219" si="29">(A216*B216)*C216</f>
        <v>6.944</v>
      </c>
    </row>
    <row r="217" spans="1:4" x14ac:dyDescent="0.2">
      <c r="A217">
        <v>3.11</v>
      </c>
      <c r="B217">
        <v>2.8</v>
      </c>
      <c r="C217">
        <v>2</v>
      </c>
      <c r="D217">
        <f t="shared" si="29"/>
        <v>17.415999999999997</v>
      </c>
    </row>
    <row r="218" spans="1:4" x14ac:dyDescent="0.2">
      <c r="A218">
        <v>-0.7</v>
      </c>
      <c r="B218">
        <v>2.5499999999999998</v>
      </c>
      <c r="D218">
        <f t="shared" si="27"/>
        <v>-1.7849999999999997</v>
      </c>
    </row>
    <row r="219" spans="1:4" x14ac:dyDescent="0.2">
      <c r="A219">
        <v>5.4</v>
      </c>
      <c r="B219">
        <v>2.8</v>
      </c>
      <c r="C219">
        <v>2</v>
      </c>
      <c r="D219">
        <f t="shared" si="29"/>
        <v>30.24</v>
      </c>
    </row>
    <row r="220" spans="1:4" x14ac:dyDescent="0.2">
      <c r="A220">
        <v>-4.9800000000000004</v>
      </c>
      <c r="B220">
        <v>1.65</v>
      </c>
      <c r="D220">
        <f t="shared" si="27"/>
        <v>-8.2170000000000005</v>
      </c>
    </row>
    <row r="222" spans="1:4" x14ac:dyDescent="0.2">
      <c r="D222">
        <f>SUM(D103:D221)</f>
        <v>1466.3759999999995</v>
      </c>
    </row>
    <row r="223" spans="1:4" x14ac:dyDescent="0.2">
      <c r="C223" t="s">
        <v>267</v>
      </c>
      <c r="D223">
        <f>D222+G96</f>
        <v>3013.9669999999996</v>
      </c>
    </row>
    <row r="224" spans="1:4" x14ac:dyDescent="0.2">
      <c r="C224" t="s">
        <v>398</v>
      </c>
      <c r="D224">
        <f>'ENCHAPE CERAMICO'!D31</f>
        <v>387.01599999999996</v>
      </c>
    </row>
    <row r="225" spans="3:4" x14ac:dyDescent="0.2">
      <c r="C225" t="s">
        <v>265</v>
      </c>
      <c r="D225" s="7">
        <f>D223-D224</f>
        <v>2626.9509999999996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B278C-16BD-4418-8545-03F3B14B9935}">
  <sheetPr codeName="Hoja31"/>
  <dimension ref="A1:I79"/>
  <sheetViews>
    <sheetView workbookViewId="0">
      <selection activeCell="D578" sqref="D578"/>
    </sheetView>
  </sheetViews>
  <sheetFormatPr baseColWidth="10" defaultRowHeight="16" x14ac:dyDescent="0.2"/>
  <cols>
    <col min="1" max="1" width="31.33203125" bestFit="1" customWidth="1"/>
    <col min="4" max="4" width="11" style="5"/>
    <col min="5" max="5" width="13.1640625" bestFit="1" customWidth="1"/>
    <col min="7" max="7" width="22.6640625" bestFit="1" customWidth="1"/>
  </cols>
  <sheetData>
    <row r="1" spans="1:9" x14ac:dyDescent="0.2">
      <c r="B1" t="s">
        <v>263</v>
      </c>
    </row>
    <row r="2" spans="1:9" x14ac:dyDescent="0.2">
      <c r="B2">
        <v>3.8</v>
      </c>
      <c r="C2">
        <v>2.8</v>
      </c>
    </row>
    <row r="3" spans="1:9" x14ac:dyDescent="0.2">
      <c r="A3" t="s">
        <v>225</v>
      </c>
      <c r="B3">
        <v>61</v>
      </c>
    </row>
    <row r="4" spans="1:9" x14ac:dyDescent="0.2">
      <c r="A4" t="s">
        <v>228</v>
      </c>
      <c r="C4">
        <v>76</v>
      </c>
    </row>
    <row r="5" spans="1:9" x14ac:dyDescent="0.2">
      <c r="A5" t="s">
        <v>267</v>
      </c>
      <c r="B5">
        <f>B3*B2</f>
        <v>231.79999999999998</v>
      </c>
      <c r="C5">
        <f>C4*C2</f>
        <v>212.79999999999998</v>
      </c>
    </row>
    <row r="7" spans="1:9" x14ac:dyDescent="0.2">
      <c r="A7" t="s">
        <v>225</v>
      </c>
      <c r="D7" s="5" t="s">
        <v>400</v>
      </c>
      <c r="E7" t="s">
        <v>267</v>
      </c>
      <c r="G7" t="s">
        <v>401</v>
      </c>
    </row>
    <row r="8" spans="1:9" x14ac:dyDescent="0.2">
      <c r="B8">
        <v>0.7</v>
      </c>
      <c r="C8">
        <v>2.5499999999999998</v>
      </c>
      <c r="D8" s="5">
        <v>2</v>
      </c>
      <c r="E8">
        <f>C8*D8+B8*D8</f>
        <v>6.5</v>
      </c>
    </row>
    <row r="9" spans="1:9" x14ac:dyDescent="0.2">
      <c r="A9" t="s">
        <v>228</v>
      </c>
      <c r="E9">
        <f t="shared" ref="E9:E75" si="0">C9*D9+B9*D9</f>
        <v>0</v>
      </c>
    </row>
    <row r="10" spans="1:9" x14ac:dyDescent="0.2">
      <c r="A10" t="s">
        <v>363</v>
      </c>
      <c r="B10">
        <v>0.7</v>
      </c>
      <c r="C10">
        <v>2.5499999999999998</v>
      </c>
      <c r="D10" s="5">
        <v>1</v>
      </c>
      <c r="E10">
        <f t="shared" si="0"/>
        <v>3.25</v>
      </c>
    </row>
    <row r="11" spans="1:9" x14ac:dyDescent="0.2">
      <c r="A11" t="s">
        <v>364</v>
      </c>
      <c r="E11">
        <f t="shared" si="0"/>
        <v>0</v>
      </c>
    </row>
    <row r="12" spans="1:9" x14ac:dyDescent="0.2">
      <c r="A12" t="s">
        <v>365</v>
      </c>
      <c r="B12">
        <v>0.9</v>
      </c>
      <c r="C12">
        <v>2.5499999999999998</v>
      </c>
      <c r="D12" s="5">
        <v>1</v>
      </c>
      <c r="E12">
        <f t="shared" si="0"/>
        <v>3.4499999999999997</v>
      </c>
      <c r="G12">
        <v>2.38</v>
      </c>
      <c r="H12">
        <v>4</v>
      </c>
      <c r="I12">
        <f>G12*H12</f>
        <v>9.52</v>
      </c>
    </row>
    <row r="13" spans="1:9" x14ac:dyDescent="0.2">
      <c r="G13">
        <v>0.9</v>
      </c>
      <c r="H13">
        <v>2</v>
      </c>
      <c r="I13">
        <f t="shared" ref="I13:I76" si="1">G13*H13</f>
        <v>1.8</v>
      </c>
    </row>
    <row r="14" spans="1:9" x14ac:dyDescent="0.2">
      <c r="A14" t="s">
        <v>366</v>
      </c>
      <c r="B14">
        <v>0.9</v>
      </c>
      <c r="C14">
        <v>2.5499999999999998</v>
      </c>
      <c r="D14" s="5">
        <v>1</v>
      </c>
      <c r="E14">
        <f t="shared" si="0"/>
        <v>3.4499999999999997</v>
      </c>
      <c r="G14">
        <v>1.72</v>
      </c>
      <c r="H14">
        <v>4</v>
      </c>
      <c r="I14">
        <f t="shared" si="1"/>
        <v>6.88</v>
      </c>
    </row>
    <row r="15" spans="1:9" x14ac:dyDescent="0.2">
      <c r="G15">
        <v>0.9</v>
      </c>
      <c r="H15">
        <v>2</v>
      </c>
      <c r="I15">
        <f t="shared" si="1"/>
        <v>1.8</v>
      </c>
    </row>
    <row r="16" spans="1:9" x14ac:dyDescent="0.2">
      <c r="A16" t="s">
        <v>299</v>
      </c>
      <c r="B16">
        <v>0.7</v>
      </c>
      <c r="C16">
        <v>2.5499999999999998</v>
      </c>
      <c r="D16" s="5">
        <v>2</v>
      </c>
      <c r="E16">
        <f t="shared" si="0"/>
        <v>6.5</v>
      </c>
      <c r="I16">
        <f t="shared" si="1"/>
        <v>0</v>
      </c>
    </row>
    <row r="17" spans="1:9" x14ac:dyDescent="0.2">
      <c r="A17" t="s">
        <v>340</v>
      </c>
      <c r="B17">
        <v>0.7</v>
      </c>
      <c r="C17">
        <v>2.5499999999999998</v>
      </c>
      <c r="D17" s="5">
        <v>2</v>
      </c>
      <c r="E17">
        <f t="shared" si="0"/>
        <v>6.5</v>
      </c>
      <c r="I17">
        <f t="shared" si="1"/>
        <v>0</v>
      </c>
    </row>
    <row r="18" spans="1:9" x14ac:dyDescent="0.2">
      <c r="A18" t="s">
        <v>367</v>
      </c>
      <c r="B18">
        <v>0.7</v>
      </c>
      <c r="C18">
        <v>2.5499999999999998</v>
      </c>
      <c r="D18" s="5">
        <v>4</v>
      </c>
      <c r="E18">
        <f t="shared" si="0"/>
        <v>13</v>
      </c>
      <c r="I18">
        <f t="shared" si="1"/>
        <v>0</v>
      </c>
    </row>
    <row r="19" spans="1:9" x14ac:dyDescent="0.2">
      <c r="A19" t="s">
        <v>374</v>
      </c>
      <c r="B19">
        <v>0.9</v>
      </c>
      <c r="C19">
        <v>2.5499999999999998</v>
      </c>
      <c r="E19">
        <f t="shared" si="0"/>
        <v>0</v>
      </c>
      <c r="G19">
        <f>2.54+0.9</f>
        <v>3.44</v>
      </c>
      <c r="H19">
        <v>2</v>
      </c>
      <c r="I19">
        <f t="shared" si="1"/>
        <v>6.88</v>
      </c>
    </row>
    <row r="20" spans="1:9" x14ac:dyDescent="0.2">
      <c r="A20" t="s">
        <v>299</v>
      </c>
      <c r="B20">
        <v>0.7</v>
      </c>
      <c r="C20">
        <v>2.5499999999999998</v>
      </c>
      <c r="D20" s="5">
        <v>3</v>
      </c>
      <c r="E20">
        <f t="shared" si="0"/>
        <v>9.75</v>
      </c>
      <c r="I20">
        <f t="shared" si="1"/>
        <v>0</v>
      </c>
    </row>
    <row r="21" spans="1:9" x14ac:dyDescent="0.2">
      <c r="A21" t="s">
        <v>367</v>
      </c>
      <c r="B21">
        <v>0.7</v>
      </c>
      <c r="C21">
        <v>2.5499999999999998</v>
      </c>
      <c r="D21" s="5">
        <v>2</v>
      </c>
      <c r="E21">
        <f t="shared" si="0"/>
        <v>6.5</v>
      </c>
      <c r="I21">
        <f t="shared" si="1"/>
        <v>0</v>
      </c>
    </row>
    <row r="22" spans="1:9" x14ac:dyDescent="0.2">
      <c r="A22" t="s">
        <v>369</v>
      </c>
      <c r="B22">
        <v>0.9</v>
      </c>
      <c r="C22">
        <v>2.5499999999999998</v>
      </c>
      <c r="D22" s="5">
        <v>2</v>
      </c>
      <c r="E22">
        <f t="shared" si="0"/>
        <v>6.8999999999999995</v>
      </c>
      <c r="G22">
        <v>1.72</v>
      </c>
      <c r="H22">
        <v>8</v>
      </c>
      <c r="I22">
        <f t="shared" si="1"/>
        <v>13.76</v>
      </c>
    </row>
    <row r="23" spans="1:9" x14ac:dyDescent="0.2">
      <c r="G23">
        <v>0.9</v>
      </c>
      <c r="H23">
        <v>2</v>
      </c>
      <c r="I23">
        <f t="shared" si="1"/>
        <v>1.8</v>
      </c>
    </row>
    <row r="24" spans="1:9" x14ac:dyDescent="0.2">
      <c r="A24" t="s">
        <v>343</v>
      </c>
      <c r="B24">
        <v>0.9</v>
      </c>
      <c r="C24">
        <v>2.5499999999999998</v>
      </c>
      <c r="D24" s="5">
        <v>2</v>
      </c>
      <c r="E24">
        <f t="shared" si="0"/>
        <v>6.8999999999999995</v>
      </c>
      <c r="I24">
        <f t="shared" si="1"/>
        <v>0</v>
      </c>
    </row>
    <row r="25" spans="1:9" x14ac:dyDescent="0.2">
      <c r="A25" t="s">
        <v>344</v>
      </c>
      <c r="B25">
        <v>0.9</v>
      </c>
      <c r="C25">
        <v>2.5499999999999998</v>
      </c>
      <c r="D25" s="5">
        <v>2</v>
      </c>
      <c r="E25">
        <f t="shared" si="0"/>
        <v>6.8999999999999995</v>
      </c>
      <c r="I25">
        <f t="shared" si="1"/>
        <v>0</v>
      </c>
    </row>
    <row r="26" spans="1:9" x14ac:dyDescent="0.2">
      <c r="A26" t="s">
        <v>370</v>
      </c>
      <c r="E26">
        <f t="shared" si="0"/>
        <v>0</v>
      </c>
      <c r="I26">
        <f t="shared" si="1"/>
        <v>0</v>
      </c>
    </row>
    <row r="27" spans="1:9" x14ac:dyDescent="0.2">
      <c r="A27" t="s">
        <v>371</v>
      </c>
      <c r="B27">
        <v>0.9</v>
      </c>
      <c r="C27">
        <v>2.5499999999999998</v>
      </c>
      <c r="D27" s="5">
        <v>1</v>
      </c>
      <c r="E27">
        <f t="shared" si="0"/>
        <v>3.4499999999999997</v>
      </c>
      <c r="G27">
        <v>2.5</v>
      </c>
      <c r="H27">
        <v>2</v>
      </c>
      <c r="I27">
        <f t="shared" si="1"/>
        <v>5</v>
      </c>
    </row>
    <row r="28" spans="1:9" x14ac:dyDescent="0.2">
      <c r="A28" t="s">
        <v>363</v>
      </c>
      <c r="B28">
        <v>0.7</v>
      </c>
      <c r="C28">
        <v>2.5499999999999998</v>
      </c>
      <c r="D28" s="5">
        <v>1</v>
      </c>
      <c r="E28">
        <f t="shared" si="0"/>
        <v>3.25</v>
      </c>
      <c r="I28">
        <f t="shared" si="1"/>
        <v>0</v>
      </c>
    </row>
    <row r="29" spans="1:9" x14ac:dyDescent="0.2">
      <c r="A29" t="s">
        <v>372</v>
      </c>
      <c r="B29">
        <v>0.9</v>
      </c>
      <c r="C29">
        <v>2.5499999999999998</v>
      </c>
      <c r="D29" s="5">
        <v>2</v>
      </c>
      <c r="E29">
        <f t="shared" si="0"/>
        <v>6.8999999999999995</v>
      </c>
      <c r="G29">
        <v>2.38</v>
      </c>
      <c r="H29">
        <v>4</v>
      </c>
      <c r="I29">
        <f t="shared" si="1"/>
        <v>9.52</v>
      </c>
    </row>
    <row r="30" spans="1:9" x14ac:dyDescent="0.2">
      <c r="A30" t="s">
        <v>346</v>
      </c>
      <c r="B30">
        <v>0.9</v>
      </c>
      <c r="C30">
        <v>2.5499999999999998</v>
      </c>
      <c r="D30" s="5">
        <v>2</v>
      </c>
      <c r="E30">
        <f t="shared" si="0"/>
        <v>6.8999999999999995</v>
      </c>
      <c r="I30">
        <f t="shared" si="1"/>
        <v>0</v>
      </c>
    </row>
    <row r="31" spans="1:9" x14ac:dyDescent="0.2">
      <c r="A31" t="s">
        <v>373</v>
      </c>
      <c r="B31">
        <v>0.9</v>
      </c>
      <c r="C31">
        <v>2.5499999999999998</v>
      </c>
      <c r="D31" s="5">
        <v>2</v>
      </c>
      <c r="E31">
        <f t="shared" si="0"/>
        <v>6.8999999999999995</v>
      </c>
      <c r="I31">
        <f t="shared" si="1"/>
        <v>0</v>
      </c>
    </row>
    <row r="32" spans="1:9" x14ac:dyDescent="0.2">
      <c r="A32" t="s">
        <v>368</v>
      </c>
      <c r="B32">
        <v>1.4</v>
      </c>
      <c r="C32">
        <v>2.5499999999999998</v>
      </c>
      <c r="E32">
        <f t="shared" si="0"/>
        <v>0</v>
      </c>
      <c r="I32">
        <f t="shared" si="1"/>
        <v>0</v>
      </c>
    </row>
    <row r="33" spans="1:9" x14ac:dyDescent="0.2">
      <c r="A33" t="s">
        <v>375</v>
      </c>
      <c r="B33">
        <v>0.9</v>
      </c>
      <c r="C33">
        <v>2.5499999999999998</v>
      </c>
      <c r="D33" s="5">
        <v>2</v>
      </c>
      <c r="E33">
        <f t="shared" si="0"/>
        <v>6.8999999999999995</v>
      </c>
      <c r="I33">
        <f t="shared" si="1"/>
        <v>0</v>
      </c>
    </row>
    <row r="34" spans="1:9" x14ac:dyDescent="0.2">
      <c r="A34" t="s">
        <v>347</v>
      </c>
      <c r="B34">
        <v>0.7</v>
      </c>
      <c r="C34">
        <v>2.5499999999999998</v>
      </c>
      <c r="D34" s="5">
        <v>2</v>
      </c>
      <c r="E34">
        <f t="shared" si="0"/>
        <v>6.5</v>
      </c>
      <c r="I34">
        <f t="shared" si="1"/>
        <v>0</v>
      </c>
    </row>
    <row r="35" spans="1:9" x14ac:dyDescent="0.2">
      <c r="A35" t="s">
        <v>351</v>
      </c>
      <c r="B35">
        <v>0.7</v>
      </c>
      <c r="C35">
        <v>2.5499999999999998</v>
      </c>
      <c r="D35" s="5">
        <v>2</v>
      </c>
      <c r="E35">
        <f t="shared" si="0"/>
        <v>6.5</v>
      </c>
      <c r="I35">
        <f t="shared" si="1"/>
        <v>0</v>
      </c>
    </row>
    <row r="36" spans="1:9" x14ac:dyDescent="0.2">
      <c r="A36" t="s">
        <v>348</v>
      </c>
      <c r="B36">
        <v>0.7</v>
      </c>
      <c r="C36">
        <v>2.5499999999999998</v>
      </c>
      <c r="D36" s="5">
        <v>2</v>
      </c>
      <c r="E36">
        <f t="shared" si="0"/>
        <v>6.5</v>
      </c>
      <c r="I36">
        <f t="shared" si="1"/>
        <v>0</v>
      </c>
    </row>
    <row r="37" spans="1:9" x14ac:dyDescent="0.2">
      <c r="A37" t="s">
        <v>376</v>
      </c>
      <c r="B37">
        <v>0.9</v>
      </c>
      <c r="C37">
        <v>2.5499999999999998</v>
      </c>
      <c r="D37" s="5">
        <v>2</v>
      </c>
      <c r="E37">
        <f t="shared" si="0"/>
        <v>6.8999999999999995</v>
      </c>
      <c r="I37">
        <f t="shared" si="1"/>
        <v>0</v>
      </c>
    </row>
    <row r="38" spans="1:9" x14ac:dyDescent="0.2">
      <c r="A38" t="s">
        <v>377</v>
      </c>
      <c r="B38">
        <v>0.9</v>
      </c>
      <c r="C38">
        <v>2.5499999999999998</v>
      </c>
      <c r="D38" s="5">
        <v>2</v>
      </c>
      <c r="E38">
        <f t="shared" si="0"/>
        <v>6.8999999999999995</v>
      </c>
      <c r="I38">
        <f t="shared" si="1"/>
        <v>0</v>
      </c>
    </row>
    <row r="39" spans="1:9" x14ac:dyDescent="0.2">
      <c r="A39" t="s">
        <v>368</v>
      </c>
      <c r="B39">
        <v>1.4</v>
      </c>
      <c r="C39">
        <v>2.5499999999999998</v>
      </c>
      <c r="E39">
        <f t="shared" si="0"/>
        <v>0</v>
      </c>
      <c r="I39">
        <f t="shared" si="1"/>
        <v>0</v>
      </c>
    </row>
    <row r="40" spans="1:9" x14ac:dyDescent="0.2">
      <c r="A40" t="s">
        <v>373</v>
      </c>
      <c r="B40">
        <v>0.9</v>
      </c>
      <c r="C40">
        <v>2.5499999999999998</v>
      </c>
      <c r="D40" s="5">
        <v>3</v>
      </c>
      <c r="E40">
        <f t="shared" si="0"/>
        <v>10.35</v>
      </c>
      <c r="I40">
        <f t="shared" si="1"/>
        <v>0</v>
      </c>
    </row>
    <row r="41" spans="1:9" x14ac:dyDescent="0.2">
      <c r="A41" t="s">
        <v>346</v>
      </c>
      <c r="B41">
        <v>0.9</v>
      </c>
      <c r="C41">
        <v>2.5499999999999998</v>
      </c>
      <c r="D41" s="5">
        <v>3</v>
      </c>
      <c r="E41">
        <f t="shared" si="0"/>
        <v>10.35</v>
      </c>
      <c r="I41">
        <f t="shared" si="1"/>
        <v>0</v>
      </c>
    </row>
    <row r="42" spans="1:9" x14ac:dyDescent="0.2">
      <c r="A42" t="s">
        <v>346</v>
      </c>
      <c r="B42">
        <v>0.9</v>
      </c>
      <c r="C42">
        <v>2.5499999999999998</v>
      </c>
      <c r="E42">
        <f t="shared" si="0"/>
        <v>0</v>
      </c>
      <c r="I42">
        <f t="shared" si="1"/>
        <v>0</v>
      </c>
    </row>
    <row r="43" spans="1:9" x14ac:dyDescent="0.2">
      <c r="A43" t="s">
        <v>370</v>
      </c>
      <c r="E43">
        <f t="shared" si="0"/>
        <v>0</v>
      </c>
      <c r="I43">
        <f t="shared" si="1"/>
        <v>0</v>
      </c>
    </row>
    <row r="44" spans="1:9" x14ac:dyDescent="0.2">
      <c r="A44" t="s">
        <v>378</v>
      </c>
      <c r="E44">
        <f t="shared" si="0"/>
        <v>0</v>
      </c>
      <c r="I44">
        <f t="shared" si="1"/>
        <v>0</v>
      </c>
    </row>
    <row r="45" spans="1:9" x14ac:dyDescent="0.2">
      <c r="A45" t="s">
        <v>379</v>
      </c>
      <c r="B45">
        <v>0.9</v>
      </c>
      <c r="C45">
        <v>2.5499999999999998</v>
      </c>
      <c r="D45" s="5">
        <v>2</v>
      </c>
      <c r="E45">
        <f t="shared" si="0"/>
        <v>6.8999999999999995</v>
      </c>
      <c r="G45">
        <v>1.74</v>
      </c>
      <c r="H45">
        <v>4</v>
      </c>
      <c r="I45">
        <f t="shared" si="1"/>
        <v>6.96</v>
      </c>
    </row>
    <row r="46" spans="1:9" x14ac:dyDescent="0.2">
      <c r="A46" t="s">
        <v>380</v>
      </c>
      <c r="B46">
        <v>0.9</v>
      </c>
      <c r="C46">
        <v>2.5499999999999998</v>
      </c>
      <c r="D46" s="5">
        <v>1</v>
      </c>
      <c r="E46">
        <f t="shared" si="0"/>
        <v>3.4499999999999997</v>
      </c>
      <c r="G46">
        <v>1.74</v>
      </c>
      <c r="H46">
        <v>4</v>
      </c>
      <c r="I46">
        <f t="shared" si="1"/>
        <v>6.96</v>
      </c>
    </row>
    <row r="47" spans="1:9" x14ac:dyDescent="0.2">
      <c r="A47" t="s">
        <v>381</v>
      </c>
      <c r="B47">
        <v>0.9</v>
      </c>
      <c r="C47">
        <v>2.5499999999999998</v>
      </c>
      <c r="D47" s="5">
        <v>3</v>
      </c>
      <c r="E47">
        <f t="shared" si="0"/>
        <v>10.35</v>
      </c>
      <c r="I47">
        <f t="shared" si="1"/>
        <v>0</v>
      </c>
    </row>
    <row r="48" spans="1:9" x14ac:dyDescent="0.2">
      <c r="A48" t="s">
        <v>381</v>
      </c>
      <c r="B48">
        <v>0.9</v>
      </c>
      <c r="C48">
        <v>2.5499999999999998</v>
      </c>
      <c r="D48" s="5">
        <v>3</v>
      </c>
      <c r="E48">
        <f t="shared" si="0"/>
        <v>10.35</v>
      </c>
      <c r="I48">
        <f t="shared" si="1"/>
        <v>0</v>
      </c>
    </row>
    <row r="49" spans="1:9" x14ac:dyDescent="0.2">
      <c r="A49" t="s">
        <v>363</v>
      </c>
      <c r="B49">
        <v>0.9</v>
      </c>
      <c r="C49">
        <v>2.5499999999999998</v>
      </c>
      <c r="D49" s="5">
        <v>1</v>
      </c>
      <c r="E49">
        <f t="shared" si="0"/>
        <v>3.4499999999999997</v>
      </c>
      <c r="I49">
        <f t="shared" si="1"/>
        <v>0</v>
      </c>
    </row>
    <row r="50" spans="1:9" x14ac:dyDescent="0.2">
      <c r="A50" t="s">
        <v>363</v>
      </c>
      <c r="B50">
        <v>0.9</v>
      </c>
      <c r="C50">
        <v>2.5499999999999998</v>
      </c>
      <c r="D50" s="5">
        <v>1</v>
      </c>
      <c r="E50">
        <f t="shared" si="0"/>
        <v>3.4499999999999997</v>
      </c>
      <c r="I50">
        <f t="shared" si="1"/>
        <v>0</v>
      </c>
    </row>
    <row r="51" spans="1:9" x14ac:dyDescent="0.2">
      <c r="A51" t="s">
        <v>378</v>
      </c>
      <c r="E51">
        <f t="shared" si="0"/>
        <v>0</v>
      </c>
      <c r="I51">
        <f t="shared" si="1"/>
        <v>0</v>
      </c>
    </row>
    <row r="52" spans="1:9" x14ac:dyDescent="0.2">
      <c r="A52" t="s">
        <v>382</v>
      </c>
      <c r="B52">
        <v>0.9</v>
      </c>
      <c r="C52">
        <v>2.5499999999999998</v>
      </c>
      <c r="D52" s="5">
        <v>2</v>
      </c>
      <c r="E52">
        <f t="shared" si="0"/>
        <v>6.8999999999999995</v>
      </c>
      <c r="G52">
        <v>1.1499999999999999</v>
      </c>
      <c r="H52">
        <v>4</v>
      </c>
      <c r="I52">
        <f t="shared" si="1"/>
        <v>4.5999999999999996</v>
      </c>
    </row>
    <row r="53" spans="1:9" x14ac:dyDescent="0.2">
      <c r="A53" t="s">
        <v>383</v>
      </c>
      <c r="E53">
        <f t="shared" si="0"/>
        <v>0</v>
      </c>
      <c r="I53">
        <f t="shared" si="1"/>
        <v>0</v>
      </c>
    </row>
    <row r="54" spans="1:9" x14ac:dyDescent="0.2">
      <c r="E54">
        <f t="shared" si="0"/>
        <v>0</v>
      </c>
      <c r="I54">
        <f t="shared" si="1"/>
        <v>0</v>
      </c>
    </row>
    <row r="55" spans="1:9" x14ac:dyDescent="0.2">
      <c r="A55" t="s">
        <v>236</v>
      </c>
      <c r="E55">
        <f t="shared" si="0"/>
        <v>0</v>
      </c>
      <c r="I55">
        <f t="shared" si="1"/>
        <v>0</v>
      </c>
    </row>
    <row r="56" spans="1:9" x14ac:dyDescent="0.2">
      <c r="A56" t="s">
        <v>363</v>
      </c>
      <c r="B56">
        <v>0.7</v>
      </c>
      <c r="C56">
        <v>2.5499999999999998</v>
      </c>
      <c r="D56" s="5">
        <v>2</v>
      </c>
      <c r="E56">
        <f t="shared" si="0"/>
        <v>6.5</v>
      </c>
      <c r="I56">
        <f t="shared" si="1"/>
        <v>0</v>
      </c>
    </row>
    <row r="57" spans="1:9" x14ac:dyDescent="0.2">
      <c r="A57" t="s">
        <v>384</v>
      </c>
      <c r="B57">
        <v>1.4</v>
      </c>
      <c r="C57">
        <v>2.5499999999999998</v>
      </c>
      <c r="D57" s="5">
        <v>4</v>
      </c>
      <c r="E57">
        <f t="shared" si="0"/>
        <v>15.799999999999999</v>
      </c>
      <c r="G57">
        <v>3</v>
      </c>
      <c r="H57">
        <v>4</v>
      </c>
      <c r="I57">
        <f t="shared" si="1"/>
        <v>12</v>
      </c>
    </row>
    <row r="58" spans="1:9" x14ac:dyDescent="0.2">
      <c r="A58" t="s">
        <v>385</v>
      </c>
      <c r="B58">
        <v>0.9</v>
      </c>
      <c r="C58">
        <v>2.5499999999999998</v>
      </c>
      <c r="D58" s="5">
        <v>1</v>
      </c>
      <c r="E58">
        <f t="shared" si="0"/>
        <v>3.4499999999999997</v>
      </c>
      <c r="G58">
        <v>2</v>
      </c>
      <c r="H58">
        <v>4</v>
      </c>
      <c r="I58">
        <f t="shared" si="1"/>
        <v>8</v>
      </c>
    </row>
    <row r="59" spans="1:9" x14ac:dyDescent="0.2">
      <c r="A59" t="s">
        <v>299</v>
      </c>
      <c r="B59">
        <v>0.7</v>
      </c>
      <c r="C59">
        <v>2.5499999999999998</v>
      </c>
      <c r="D59" s="5">
        <v>3</v>
      </c>
      <c r="E59">
        <f t="shared" si="0"/>
        <v>9.75</v>
      </c>
      <c r="I59">
        <f t="shared" si="1"/>
        <v>0</v>
      </c>
    </row>
    <row r="60" spans="1:9" x14ac:dyDescent="0.2">
      <c r="A60" t="s">
        <v>386</v>
      </c>
      <c r="B60">
        <v>0.7</v>
      </c>
      <c r="C60">
        <v>2.5499999999999998</v>
      </c>
      <c r="D60" s="5">
        <v>2</v>
      </c>
      <c r="E60">
        <f t="shared" si="0"/>
        <v>6.5</v>
      </c>
      <c r="I60">
        <f t="shared" si="1"/>
        <v>0</v>
      </c>
    </row>
    <row r="61" spans="1:9" x14ac:dyDescent="0.2">
      <c r="A61" t="s">
        <v>351</v>
      </c>
      <c r="B61">
        <v>0.7</v>
      </c>
      <c r="C61">
        <v>2.5499999999999998</v>
      </c>
      <c r="D61" s="5">
        <v>3</v>
      </c>
      <c r="E61">
        <f t="shared" si="0"/>
        <v>9.75</v>
      </c>
      <c r="I61">
        <f t="shared" si="1"/>
        <v>0</v>
      </c>
    </row>
    <row r="62" spans="1:9" x14ac:dyDescent="0.2">
      <c r="A62" t="s">
        <v>387</v>
      </c>
      <c r="B62">
        <v>1.4</v>
      </c>
      <c r="C62">
        <v>2.5499999999999998</v>
      </c>
      <c r="D62" s="5">
        <v>1</v>
      </c>
      <c r="E62">
        <f t="shared" si="0"/>
        <v>3.9499999999999997</v>
      </c>
      <c r="G62">
        <v>3.44</v>
      </c>
      <c r="H62">
        <v>2</v>
      </c>
      <c r="I62">
        <f t="shared" si="1"/>
        <v>6.88</v>
      </c>
    </row>
    <row r="63" spans="1:9" x14ac:dyDescent="0.2">
      <c r="A63" t="s">
        <v>388</v>
      </c>
      <c r="B63">
        <v>0.7</v>
      </c>
      <c r="C63">
        <v>2.5499999999999998</v>
      </c>
      <c r="D63" s="5">
        <v>3</v>
      </c>
      <c r="E63">
        <f t="shared" si="0"/>
        <v>9.75</v>
      </c>
      <c r="I63">
        <f t="shared" si="1"/>
        <v>0</v>
      </c>
    </row>
    <row r="64" spans="1:9" x14ac:dyDescent="0.2">
      <c r="A64" t="s">
        <v>389</v>
      </c>
      <c r="B64">
        <v>0.7</v>
      </c>
      <c r="C64">
        <v>2.5499999999999998</v>
      </c>
      <c r="D64" s="5">
        <v>2</v>
      </c>
      <c r="E64">
        <f t="shared" si="0"/>
        <v>6.5</v>
      </c>
      <c r="I64">
        <f t="shared" si="1"/>
        <v>0</v>
      </c>
    </row>
    <row r="65" spans="1:9" x14ac:dyDescent="0.2">
      <c r="A65" t="s">
        <v>390</v>
      </c>
      <c r="B65">
        <v>0.9</v>
      </c>
      <c r="C65">
        <v>2.5499999999999998</v>
      </c>
      <c r="D65" s="5">
        <v>1</v>
      </c>
      <c r="E65">
        <f t="shared" si="0"/>
        <v>3.4499999999999997</v>
      </c>
      <c r="G65">
        <v>1.72</v>
      </c>
      <c r="H65">
        <v>4</v>
      </c>
      <c r="I65">
        <f t="shared" si="1"/>
        <v>6.88</v>
      </c>
    </row>
    <row r="66" spans="1:9" x14ac:dyDescent="0.2">
      <c r="A66" t="s">
        <v>343</v>
      </c>
      <c r="B66">
        <v>0.9</v>
      </c>
      <c r="C66">
        <v>2.5499999999999998</v>
      </c>
      <c r="D66" s="5">
        <v>2</v>
      </c>
      <c r="E66">
        <f t="shared" si="0"/>
        <v>6.8999999999999995</v>
      </c>
      <c r="I66">
        <f t="shared" si="1"/>
        <v>0</v>
      </c>
    </row>
    <row r="67" spans="1:9" x14ac:dyDescent="0.2">
      <c r="A67" t="s">
        <v>344</v>
      </c>
      <c r="B67">
        <v>0.9</v>
      </c>
      <c r="C67">
        <v>2.5499999999999998</v>
      </c>
      <c r="D67" s="5">
        <v>2</v>
      </c>
      <c r="E67">
        <f t="shared" si="0"/>
        <v>6.8999999999999995</v>
      </c>
      <c r="I67">
        <f t="shared" si="1"/>
        <v>0</v>
      </c>
    </row>
    <row r="68" spans="1:9" x14ac:dyDescent="0.2">
      <c r="A68" t="s">
        <v>391</v>
      </c>
      <c r="B68">
        <v>0.9</v>
      </c>
      <c r="C68">
        <v>2.5499999999999998</v>
      </c>
      <c r="D68" s="5">
        <v>4</v>
      </c>
      <c r="E68">
        <f t="shared" si="0"/>
        <v>13.799999999999999</v>
      </c>
      <c r="G68">
        <v>2.62</v>
      </c>
      <c r="H68">
        <v>4</v>
      </c>
      <c r="I68">
        <f t="shared" si="1"/>
        <v>10.48</v>
      </c>
    </row>
    <row r="69" spans="1:9" x14ac:dyDescent="0.2">
      <c r="A69" t="s">
        <v>392</v>
      </c>
      <c r="B69">
        <v>0.7</v>
      </c>
      <c r="C69">
        <v>2.5499999999999998</v>
      </c>
      <c r="D69" s="5">
        <v>1</v>
      </c>
      <c r="E69">
        <f t="shared" si="0"/>
        <v>3.25</v>
      </c>
      <c r="I69">
        <f t="shared" si="1"/>
        <v>0</v>
      </c>
    </row>
    <row r="70" spans="1:9" x14ac:dyDescent="0.2">
      <c r="A70" t="s">
        <v>370</v>
      </c>
      <c r="B70">
        <v>0.7</v>
      </c>
      <c r="C70">
        <v>2.5499999999999998</v>
      </c>
      <c r="D70" s="5">
        <v>2</v>
      </c>
      <c r="E70">
        <f t="shared" si="0"/>
        <v>6.5</v>
      </c>
      <c r="I70">
        <f t="shared" si="1"/>
        <v>0</v>
      </c>
    </row>
    <row r="71" spans="1:9" x14ac:dyDescent="0.2">
      <c r="A71" t="s">
        <v>393</v>
      </c>
      <c r="B71">
        <v>0.9</v>
      </c>
      <c r="C71">
        <v>2.5499999999999998</v>
      </c>
      <c r="E71">
        <f t="shared" si="0"/>
        <v>0</v>
      </c>
      <c r="G71">
        <v>2.38</v>
      </c>
      <c r="H71">
        <v>4</v>
      </c>
      <c r="I71">
        <f t="shared" si="1"/>
        <v>9.52</v>
      </c>
    </row>
    <row r="72" spans="1:9" x14ac:dyDescent="0.2">
      <c r="A72" t="s">
        <v>364</v>
      </c>
      <c r="E72">
        <f t="shared" si="0"/>
        <v>0</v>
      </c>
      <c r="I72">
        <f t="shared" si="1"/>
        <v>0</v>
      </c>
    </row>
    <row r="73" spans="1:9" x14ac:dyDescent="0.2">
      <c r="A73" t="s">
        <v>399</v>
      </c>
      <c r="B73">
        <v>1.4</v>
      </c>
      <c r="C73">
        <v>2.5499999999999998</v>
      </c>
      <c r="D73" s="5">
        <v>4</v>
      </c>
      <c r="E73">
        <f t="shared" si="0"/>
        <v>15.799999999999999</v>
      </c>
      <c r="I73">
        <f t="shared" si="1"/>
        <v>0</v>
      </c>
    </row>
    <row r="74" spans="1:9" x14ac:dyDescent="0.2">
      <c r="A74" t="s">
        <v>378</v>
      </c>
      <c r="E74">
        <f t="shared" si="0"/>
        <v>0</v>
      </c>
      <c r="I74">
        <f t="shared" si="1"/>
        <v>0</v>
      </c>
    </row>
    <row r="75" spans="1:9" x14ac:dyDescent="0.2">
      <c r="A75" t="s">
        <v>394</v>
      </c>
      <c r="B75">
        <v>1.4</v>
      </c>
      <c r="C75">
        <v>2.5499999999999998</v>
      </c>
      <c r="E75">
        <f t="shared" si="0"/>
        <v>0</v>
      </c>
      <c r="G75">
        <v>5.45</v>
      </c>
      <c r="H75">
        <v>4</v>
      </c>
      <c r="I75">
        <f t="shared" si="1"/>
        <v>21.8</v>
      </c>
    </row>
    <row r="76" spans="1:9" x14ac:dyDescent="0.2">
      <c r="A76" t="s">
        <v>394</v>
      </c>
      <c r="B76">
        <v>1.4</v>
      </c>
      <c r="C76">
        <v>2.5499999999999998</v>
      </c>
      <c r="E76">
        <f t="shared" ref="E76" si="2">C76*D76+B76*D76</f>
        <v>0</v>
      </c>
      <c r="G76">
        <v>4.0599999999999996</v>
      </c>
      <c r="H76">
        <v>4</v>
      </c>
      <c r="I76">
        <f t="shared" si="1"/>
        <v>16.239999999999998</v>
      </c>
    </row>
    <row r="77" spans="1:9" x14ac:dyDescent="0.2">
      <c r="A77" t="s">
        <v>395</v>
      </c>
      <c r="D77" s="5" t="s">
        <v>267</v>
      </c>
      <c r="E77">
        <f>SUM(E8:E76)</f>
        <v>341.29999999999995</v>
      </c>
      <c r="I77">
        <f>SUM(I12:I76)</f>
        <v>167.28</v>
      </c>
    </row>
    <row r="79" spans="1:9" x14ac:dyDescent="0.2">
      <c r="A79" t="s">
        <v>265</v>
      </c>
      <c r="B79" s="7">
        <f>E77+I77+B5+C5</f>
        <v>953.17999999999984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96ADB-8A31-4D14-BDCD-42BB9686DD05}">
  <sheetPr codeName="Hoja32"/>
  <dimension ref="A2:D9"/>
  <sheetViews>
    <sheetView workbookViewId="0">
      <selection activeCell="D578" sqref="D578"/>
    </sheetView>
  </sheetViews>
  <sheetFormatPr baseColWidth="10" defaultRowHeight="16" x14ac:dyDescent="0.2"/>
  <cols>
    <col min="1" max="1" width="28" bestFit="1" customWidth="1"/>
  </cols>
  <sheetData>
    <row r="2" spans="1:4" x14ac:dyDescent="0.2">
      <c r="A2" s="5" t="s">
        <v>279</v>
      </c>
      <c r="B2" s="5" t="s">
        <v>262</v>
      </c>
      <c r="C2" s="5" t="s">
        <v>263</v>
      </c>
      <c r="D2" s="5" t="s">
        <v>267</v>
      </c>
    </row>
    <row r="3" spans="1:4" x14ac:dyDescent="0.2">
      <c r="A3" s="5" t="s">
        <v>228</v>
      </c>
      <c r="B3" s="5">
        <f>'MUROS BLOQUE CONCRETO'!B25+'MUROS BLOQUE CONCRETO'!B26+'MUROS BLOQUE CONCRETO'!B27+'MUROS BLOQUE CONCRETO'!B28+'MUROS BLOQUE CONCRETO'!B29+'MUROS BLOQUE CONCRETO'!B30+'MUROS BLOQUE CONCRETO'!B31+'MUROS BLOQUE CONCRETO'!B32+'MUROS BLOQUE CONCRETO'!B50</f>
        <v>118.05</v>
      </c>
      <c r="C3" s="5">
        <v>3.8</v>
      </c>
      <c r="D3" s="5">
        <f t="shared" ref="D3:D7" si="0">B3*C3</f>
        <v>448.59</v>
      </c>
    </row>
    <row r="4" spans="1:4" x14ac:dyDescent="0.2">
      <c r="A4" s="5" t="s">
        <v>236</v>
      </c>
      <c r="B4" s="5">
        <f>'MUROS BLOQUE CONCRETO'!B54+'MUROS BLOQUE CONCRETO'!B55+'MUROS BLOQUE CONCRETO'!B56+'MUROS BLOQUE CONCRETO'!B57+'MUROS BLOQUE CONCRETO'!B58+'MUROS BLOQUE CONCRETO'!B59+'MUROS BLOQUE CONCRETO'!B60+'MUROS BLOQUE CONCRETO'!B61+'MUROS BLOQUE CONCRETO'!B62+'MUROS BLOQUE CONCRETO'!B63</f>
        <v>87.24</v>
      </c>
      <c r="C4" s="5">
        <v>3.8</v>
      </c>
      <c r="D4" s="5">
        <f t="shared" si="0"/>
        <v>331.51199999999994</v>
      </c>
    </row>
    <row r="5" spans="1:4" x14ac:dyDescent="0.2">
      <c r="A5" s="5" t="s">
        <v>280</v>
      </c>
      <c r="B5" s="5">
        <f>'MUROS BLOQUE CONCRETO'!B69+'MUROS BLOQUE CONCRETO'!B70+'MUROS BLOQUE CONCRETO'!B71</f>
        <v>37.32</v>
      </c>
      <c r="C5" s="5">
        <v>0.9</v>
      </c>
      <c r="D5" s="5">
        <f t="shared" si="0"/>
        <v>33.588000000000001</v>
      </c>
    </row>
    <row r="6" spans="1:4" x14ac:dyDescent="0.2">
      <c r="A6" s="5" t="s">
        <v>281</v>
      </c>
      <c r="B6" s="5">
        <f>'MUROS BLOQUE CONCRETO'!B75+'MUROS BLOQUE CONCRETO'!B77</f>
        <v>42.9</v>
      </c>
      <c r="C6" s="5">
        <v>3.8</v>
      </c>
      <c r="D6" s="5">
        <f t="shared" si="0"/>
        <v>163.01999999999998</v>
      </c>
    </row>
    <row r="7" spans="1:4" x14ac:dyDescent="0.2">
      <c r="A7" s="5" t="s">
        <v>282</v>
      </c>
      <c r="B7" s="5">
        <f>'MUROS BLOQUE CONCRETO'!B76+'MUROS BLOQUE CONCRETO'!B78+'MUROS BLOQUE CONCRETO'!B79+'MUROS BLOQUE CONCRETO'!B80+'MUROS BLOQUE CONCRETO'!B81+'MUROS BLOQUE CONCRETO'!B82+'MUROS BLOQUE CONCRETO'!B83</f>
        <v>66.64</v>
      </c>
      <c r="C7" s="5">
        <v>0.9</v>
      </c>
      <c r="D7" s="5">
        <f t="shared" si="0"/>
        <v>59.975999999999999</v>
      </c>
    </row>
    <row r="8" spans="1:4" x14ac:dyDescent="0.2">
      <c r="A8" s="5"/>
      <c r="B8" s="5"/>
      <c r="C8" s="5"/>
      <c r="D8" s="5"/>
    </row>
    <row r="9" spans="1:4" x14ac:dyDescent="0.2">
      <c r="A9" s="5"/>
      <c r="B9" s="5"/>
      <c r="C9" s="5" t="s">
        <v>267</v>
      </c>
      <c r="D9" s="5">
        <f>SUM(D3:D8)</f>
        <v>1036.6859999999997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C6120-5A79-484E-82B6-EF9F81DC1D57}">
  <sheetPr codeName="Hoja33"/>
  <dimension ref="A1:G225"/>
  <sheetViews>
    <sheetView topLeftCell="A202" workbookViewId="0">
      <selection activeCell="D578" sqref="D578"/>
    </sheetView>
  </sheetViews>
  <sheetFormatPr baseColWidth="10" defaultRowHeight="16" x14ac:dyDescent="0.2"/>
  <cols>
    <col min="1" max="1" width="16.1640625" bestFit="1" customWidth="1"/>
    <col min="2" max="3" width="14.1640625" bestFit="1" customWidth="1"/>
  </cols>
  <sheetData>
    <row r="1" spans="1:7" x14ac:dyDescent="0.2">
      <c r="A1" t="s">
        <v>225</v>
      </c>
    </row>
    <row r="2" spans="1:7" x14ac:dyDescent="0.2">
      <c r="A2" t="s">
        <v>397</v>
      </c>
    </row>
    <row r="3" spans="1:7" x14ac:dyDescent="0.2">
      <c r="A3" s="3" t="s">
        <v>225</v>
      </c>
      <c r="B3" s="5"/>
      <c r="C3" s="4"/>
      <c r="D3" s="4"/>
      <c r="E3" s="4"/>
      <c r="F3" s="5"/>
      <c r="G3" s="5"/>
    </row>
    <row r="4" spans="1:7" x14ac:dyDescent="0.2">
      <c r="A4" t="s">
        <v>226</v>
      </c>
      <c r="B4" s="5" t="s">
        <v>262</v>
      </c>
      <c r="C4" s="5" t="s">
        <v>263</v>
      </c>
      <c r="D4" s="5"/>
      <c r="E4" s="5" t="s">
        <v>267</v>
      </c>
      <c r="F4" s="5" t="s">
        <v>283</v>
      </c>
      <c r="G4" s="5"/>
    </row>
    <row r="5" spans="1:7" x14ac:dyDescent="0.2">
      <c r="B5" s="5">
        <v>25.3</v>
      </c>
      <c r="C5" s="5">
        <v>3.8</v>
      </c>
      <c r="D5" s="5"/>
      <c r="E5" s="5">
        <f>B5*C5</f>
        <v>96.14</v>
      </c>
      <c r="F5" s="5">
        <v>1</v>
      </c>
      <c r="G5" s="5">
        <f>E5*F5</f>
        <v>96.14</v>
      </c>
    </row>
    <row r="6" spans="1:7" x14ac:dyDescent="0.2">
      <c r="B6" s="5">
        <v>22</v>
      </c>
      <c r="C6" s="5">
        <v>3.8</v>
      </c>
      <c r="D6" s="5"/>
      <c r="E6" s="5">
        <f t="shared" ref="E6:E23" si="0">B6*C6</f>
        <v>83.6</v>
      </c>
      <c r="F6" s="5">
        <v>1</v>
      </c>
      <c r="G6" s="5">
        <f t="shared" ref="G6:G69" si="1">E6*F6</f>
        <v>83.6</v>
      </c>
    </row>
    <row r="7" spans="1:7" x14ac:dyDescent="0.2">
      <c r="B7" s="5">
        <v>12.6</v>
      </c>
      <c r="C7" s="5">
        <v>3.8</v>
      </c>
      <c r="D7" s="5"/>
      <c r="E7" s="5">
        <f t="shared" si="0"/>
        <v>47.879999999999995</v>
      </c>
      <c r="F7" s="5">
        <v>1</v>
      </c>
      <c r="G7" s="5">
        <f t="shared" si="1"/>
        <v>47.879999999999995</v>
      </c>
    </row>
    <row r="8" spans="1:7" x14ac:dyDescent="0.2">
      <c r="B8" s="5">
        <v>26.6</v>
      </c>
      <c r="C8" s="5">
        <v>3.8</v>
      </c>
      <c r="D8" s="5"/>
      <c r="E8" s="5">
        <f t="shared" si="0"/>
        <v>101.08</v>
      </c>
      <c r="F8" s="5">
        <v>1</v>
      </c>
      <c r="G8" s="5">
        <f t="shared" si="1"/>
        <v>101.08</v>
      </c>
    </row>
    <row r="9" spans="1:7" x14ac:dyDescent="0.2">
      <c r="A9" t="s">
        <v>234</v>
      </c>
      <c r="B9" s="5"/>
      <c r="C9" s="5"/>
      <c r="D9" s="5"/>
      <c r="E9" s="5"/>
      <c r="F9" s="5"/>
      <c r="G9" s="5">
        <f t="shared" si="1"/>
        <v>0</v>
      </c>
    </row>
    <row r="10" spans="1:7" x14ac:dyDescent="0.2">
      <c r="B10" s="5">
        <v>6.08</v>
      </c>
      <c r="C10" s="5">
        <v>3.8</v>
      </c>
      <c r="D10" s="5"/>
      <c r="E10" s="5">
        <f t="shared" si="0"/>
        <v>23.103999999999999</v>
      </c>
      <c r="F10" s="5">
        <v>2</v>
      </c>
      <c r="G10" s="5">
        <f t="shared" si="1"/>
        <v>46.207999999999998</v>
      </c>
    </row>
    <row r="11" spans="1:7" x14ac:dyDescent="0.2">
      <c r="B11" s="5">
        <v>3.98</v>
      </c>
      <c r="C11" s="5">
        <v>3.8</v>
      </c>
      <c r="D11" s="5"/>
      <c r="E11" s="5">
        <f t="shared" si="0"/>
        <v>15.123999999999999</v>
      </c>
      <c r="F11" s="5">
        <v>2</v>
      </c>
      <c r="G11" s="5">
        <f t="shared" si="1"/>
        <v>30.247999999999998</v>
      </c>
    </row>
    <row r="12" spans="1:7" x14ac:dyDescent="0.2">
      <c r="A12" t="s">
        <v>233</v>
      </c>
      <c r="B12" s="5"/>
      <c r="C12" s="5"/>
      <c r="D12" s="5"/>
      <c r="E12" s="5"/>
      <c r="F12" s="5"/>
      <c r="G12" s="5">
        <f t="shared" si="1"/>
        <v>0</v>
      </c>
    </row>
    <row r="13" spans="1:7" x14ac:dyDescent="0.2">
      <c r="B13" s="5">
        <v>2.86</v>
      </c>
      <c r="C13" s="5">
        <v>3.8</v>
      </c>
      <c r="D13" s="5"/>
      <c r="E13" s="5">
        <f t="shared" si="0"/>
        <v>10.867999999999999</v>
      </c>
      <c r="F13" s="5">
        <v>2</v>
      </c>
      <c r="G13" s="5">
        <f t="shared" si="1"/>
        <v>21.735999999999997</v>
      </c>
    </row>
    <row r="14" spans="1:7" x14ac:dyDescent="0.2">
      <c r="B14" s="5">
        <v>2.86</v>
      </c>
      <c r="C14" s="5">
        <v>3.8</v>
      </c>
      <c r="D14" s="5"/>
      <c r="E14" s="5">
        <f t="shared" si="0"/>
        <v>10.867999999999999</v>
      </c>
      <c r="F14" s="5">
        <v>2</v>
      </c>
      <c r="G14" s="5">
        <f t="shared" si="1"/>
        <v>21.735999999999997</v>
      </c>
    </row>
    <row r="15" spans="1:7" x14ac:dyDescent="0.2">
      <c r="B15" s="5">
        <v>2.6</v>
      </c>
      <c r="C15" s="5">
        <v>3.8</v>
      </c>
      <c r="D15" s="5"/>
      <c r="E15" s="5">
        <f t="shared" si="0"/>
        <v>9.879999999999999</v>
      </c>
      <c r="F15" s="5">
        <v>2</v>
      </c>
      <c r="G15" s="5">
        <f t="shared" si="1"/>
        <v>19.759999999999998</v>
      </c>
    </row>
    <row r="16" spans="1:7" x14ac:dyDescent="0.2">
      <c r="B16" s="5">
        <v>0.8</v>
      </c>
      <c r="C16" s="5">
        <v>3.8</v>
      </c>
      <c r="D16" s="5"/>
      <c r="E16" s="5">
        <f t="shared" si="0"/>
        <v>3.04</v>
      </c>
      <c r="F16" s="5">
        <v>2</v>
      </c>
      <c r="G16" s="5">
        <f t="shared" si="1"/>
        <v>6.08</v>
      </c>
    </row>
    <row r="17" spans="1:7" x14ac:dyDescent="0.2">
      <c r="B17" s="5">
        <v>0.8</v>
      </c>
      <c r="C17" s="5">
        <v>3.8</v>
      </c>
      <c r="D17" s="5"/>
      <c r="E17" s="5">
        <f t="shared" si="0"/>
        <v>3.04</v>
      </c>
      <c r="F17" s="5">
        <v>2</v>
      </c>
      <c r="G17" s="5">
        <f t="shared" si="1"/>
        <v>6.08</v>
      </c>
    </row>
    <row r="18" spans="1:7" x14ac:dyDescent="0.2">
      <c r="A18" t="s">
        <v>229</v>
      </c>
      <c r="B18" s="5"/>
      <c r="C18" s="5"/>
      <c r="D18" s="5"/>
      <c r="E18" s="5"/>
      <c r="F18" s="5"/>
      <c r="G18" s="5">
        <f t="shared" si="1"/>
        <v>0</v>
      </c>
    </row>
    <row r="19" spans="1:7" x14ac:dyDescent="0.2">
      <c r="B19" s="5">
        <v>6.08</v>
      </c>
      <c r="C19" s="5">
        <v>3.8</v>
      </c>
      <c r="D19" s="5"/>
      <c r="E19" s="5">
        <f t="shared" si="0"/>
        <v>23.103999999999999</v>
      </c>
      <c r="F19" s="5">
        <v>2</v>
      </c>
      <c r="G19" s="5">
        <f t="shared" si="1"/>
        <v>46.207999999999998</v>
      </c>
    </row>
    <row r="20" spans="1:7" x14ac:dyDescent="0.2">
      <c r="B20" s="5">
        <v>1.1000000000000001</v>
      </c>
      <c r="C20" s="5">
        <v>3.8</v>
      </c>
      <c r="D20" s="5"/>
      <c r="E20" s="5">
        <f t="shared" si="0"/>
        <v>4.18</v>
      </c>
      <c r="F20" s="5">
        <v>2</v>
      </c>
      <c r="G20" s="5">
        <f t="shared" si="1"/>
        <v>8.36</v>
      </c>
    </row>
    <row r="21" spans="1:7" x14ac:dyDescent="0.2">
      <c r="B21" s="5">
        <v>1.2</v>
      </c>
      <c r="C21" s="5">
        <v>3.8</v>
      </c>
      <c r="D21" s="5"/>
      <c r="E21" s="5">
        <f t="shared" si="0"/>
        <v>4.5599999999999996</v>
      </c>
      <c r="F21" s="5">
        <v>2</v>
      </c>
      <c r="G21" s="5">
        <f t="shared" si="1"/>
        <v>9.1199999999999992</v>
      </c>
    </row>
    <row r="22" spans="1:7" x14ac:dyDescent="0.2">
      <c r="B22" s="5">
        <v>2.92</v>
      </c>
      <c r="C22" s="5">
        <v>3.8</v>
      </c>
      <c r="D22" s="5"/>
      <c r="E22" s="5">
        <f t="shared" si="0"/>
        <v>11.096</v>
      </c>
      <c r="F22" s="5">
        <v>2</v>
      </c>
      <c r="G22" s="5">
        <f t="shared" si="1"/>
        <v>22.192</v>
      </c>
    </row>
    <row r="23" spans="1:7" x14ac:dyDescent="0.2">
      <c r="B23" s="5">
        <v>-0.7</v>
      </c>
      <c r="C23" s="5">
        <v>2.5499999999999998</v>
      </c>
      <c r="D23" s="5"/>
      <c r="E23" s="5">
        <f t="shared" si="0"/>
        <v>-1.7849999999999997</v>
      </c>
      <c r="F23" s="5">
        <v>1</v>
      </c>
      <c r="G23" s="5">
        <f t="shared" si="1"/>
        <v>-1.7849999999999997</v>
      </c>
    </row>
    <row r="24" spans="1:7" x14ac:dyDescent="0.2">
      <c r="B24" s="5"/>
      <c r="C24" s="5"/>
      <c r="D24" s="5"/>
      <c r="E24" s="5"/>
      <c r="F24" s="5"/>
      <c r="G24" s="5">
        <f t="shared" si="1"/>
        <v>0</v>
      </c>
    </row>
    <row r="25" spans="1:7" x14ac:dyDescent="0.2">
      <c r="A25" s="3" t="s">
        <v>228</v>
      </c>
      <c r="B25" s="5"/>
      <c r="C25" s="4"/>
      <c r="D25" s="4"/>
      <c r="E25" s="4"/>
      <c r="F25" s="5"/>
      <c r="G25" s="5">
        <f t="shared" si="1"/>
        <v>0</v>
      </c>
    </row>
    <row r="26" spans="1:7" x14ac:dyDescent="0.2">
      <c r="A26" t="s">
        <v>226</v>
      </c>
      <c r="B26" s="5"/>
      <c r="C26" s="5"/>
      <c r="D26" s="5"/>
      <c r="E26" s="5"/>
      <c r="F26" s="5"/>
      <c r="G26" s="5">
        <f t="shared" si="1"/>
        <v>0</v>
      </c>
    </row>
    <row r="27" spans="1:7" x14ac:dyDescent="0.2">
      <c r="B27" s="5">
        <v>25.3</v>
      </c>
      <c r="C27" s="5">
        <v>2.8</v>
      </c>
      <c r="D27" s="5"/>
      <c r="E27" s="5">
        <f t="shared" ref="E27:E44" si="2">B27*C27</f>
        <v>70.84</v>
      </c>
      <c r="F27" s="5">
        <v>1</v>
      </c>
      <c r="G27" s="5">
        <f t="shared" si="1"/>
        <v>70.84</v>
      </c>
    </row>
    <row r="28" spans="1:7" x14ac:dyDescent="0.2">
      <c r="B28" s="5">
        <v>22</v>
      </c>
      <c r="C28" s="5">
        <v>2.8</v>
      </c>
      <c r="D28" s="5"/>
      <c r="E28" s="5">
        <f t="shared" si="2"/>
        <v>61.599999999999994</v>
      </c>
      <c r="F28" s="5">
        <v>1</v>
      </c>
      <c r="G28" s="5">
        <f t="shared" si="1"/>
        <v>61.599999999999994</v>
      </c>
    </row>
    <row r="29" spans="1:7" x14ac:dyDescent="0.2">
      <c r="B29" s="5">
        <v>12.6</v>
      </c>
      <c r="C29" s="5">
        <v>2.8</v>
      </c>
      <c r="D29" s="5"/>
      <c r="E29" s="5">
        <f t="shared" si="2"/>
        <v>35.279999999999994</v>
      </c>
      <c r="F29" s="5">
        <v>1</v>
      </c>
      <c r="G29" s="5">
        <f t="shared" si="1"/>
        <v>35.279999999999994</v>
      </c>
    </row>
    <row r="30" spans="1:7" x14ac:dyDescent="0.2">
      <c r="B30" s="5">
        <v>15.68</v>
      </c>
      <c r="C30" s="5">
        <v>2.8</v>
      </c>
      <c r="D30" s="5"/>
      <c r="E30" s="5">
        <f t="shared" si="2"/>
        <v>43.903999999999996</v>
      </c>
      <c r="F30" s="5">
        <v>1</v>
      </c>
      <c r="G30" s="5">
        <f t="shared" si="1"/>
        <v>43.903999999999996</v>
      </c>
    </row>
    <row r="31" spans="1:7" x14ac:dyDescent="0.2">
      <c r="B31" s="5">
        <v>12.51</v>
      </c>
      <c r="C31" s="5">
        <v>2.8</v>
      </c>
      <c r="D31" s="5"/>
      <c r="E31" s="5">
        <f t="shared" si="2"/>
        <v>35.027999999999999</v>
      </c>
      <c r="F31" s="5">
        <v>1</v>
      </c>
      <c r="G31" s="5">
        <f t="shared" si="1"/>
        <v>35.027999999999999</v>
      </c>
    </row>
    <row r="32" spans="1:7" x14ac:dyDescent="0.2">
      <c r="B32" s="5">
        <v>7.5</v>
      </c>
      <c r="C32" s="5">
        <v>2.8</v>
      </c>
      <c r="D32" s="5"/>
      <c r="E32" s="5">
        <f t="shared" si="2"/>
        <v>21</v>
      </c>
      <c r="F32" s="5">
        <v>1</v>
      </c>
      <c r="G32" s="5">
        <f t="shared" si="1"/>
        <v>21</v>
      </c>
    </row>
    <row r="33" spans="1:7" x14ac:dyDescent="0.2">
      <c r="B33" s="5">
        <v>6.1</v>
      </c>
      <c r="C33" s="5">
        <v>2.8</v>
      </c>
      <c r="D33" s="5"/>
      <c r="E33" s="5">
        <f t="shared" si="2"/>
        <v>17.079999999999998</v>
      </c>
      <c r="F33" s="5">
        <v>1</v>
      </c>
      <c r="G33" s="5">
        <f t="shared" si="1"/>
        <v>17.079999999999998</v>
      </c>
    </row>
    <row r="34" spans="1:7" x14ac:dyDescent="0.2">
      <c r="B34" s="5">
        <v>3.76</v>
      </c>
      <c r="C34" s="5">
        <v>2.8</v>
      </c>
      <c r="D34" s="5"/>
      <c r="E34" s="5">
        <f t="shared" si="2"/>
        <v>10.527999999999999</v>
      </c>
      <c r="F34" s="5">
        <v>1</v>
      </c>
      <c r="G34" s="5">
        <f t="shared" si="1"/>
        <v>10.527999999999999</v>
      </c>
    </row>
    <row r="35" spans="1:7" x14ac:dyDescent="0.2">
      <c r="A35" t="s">
        <v>230</v>
      </c>
      <c r="B35" s="5"/>
      <c r="C35" s="5"/>
      <c r="D35" s="5"/>
      <c r="E35" s="5"/>
      <c r="F35" s="5"/>
      <c r="G35" s="5">
        <f t="shared" si="1"/>
        <v>0</v>
      </c>
    </row>
    <row r="36" spans="1:7" x14ac:dyDescent="0.2">
      <c r="B36" s="5">
        <v>5.78</v>
      </c>
      <c r="C36" s="5">
        <v>3.8</v>
      </c>
      <c r="D36" s="5"/>
      <c r="E36" s="5">
        <f t="shared" si="2"/>
        <v>21.963999999999999</v>
      </c>
      <c r="F36" s="5">
        <v>2</v>
      </c>
      <c r="G36" s="5">
        <f t="shared" si="1"/>
        <v>43.927999999999997</v>
      </c>
    </row>
    <row r="37" spans="1:7" x14ac:dyDescent="0.2">
      <c r="B37" s="5">
        <v>2.2400000000000002</v>
      </c>
      <c r="C37" s="5">
        <v>3.8</v>
      </c>
      <c r="D37" s="5"/>
      <c r="E37" s="5">
        <f t="shared" si="2"/>
        <v>8.5120000000000005</v>
      </c>
      <c r="F37" s="5">
        <v>2</v>
      </c>
      <c r="G37" s="5">
        <f t="shared" si="1"/>
        <v>17.024000000000001</v>
      </c>
    </row>
    <row r="38" spans="1:7" x14ac:dyDescent="0.2">
      <c r="B38" s="5">
        <v>2.48</v>
      </c>
      <c r="C38" s="5">
        <v>3.8</v>
      </c>
      <c r="D38" s="5"/>
      <c r="E38" s="5">
        <f t="shared" si="2"/>
        <v>9.4239999999999995</v>
      </c>
      <c r="F38" s="5">
        <v>2</v>
      </c>
      <c r="G38" s="5">
        <f t="shared" si="1"/>
        <v>18.847999999999999</v>
      </c>
    </row>
    <row r="39" spans="1:7" x14ac:dyDescent="0.2">
      <c r="B39" s="5">
        <v>3.6</v>
      </c>
      <c r="C39" s="5">
        <v>3.8</v>
      </c>
      <c r="D39" s="5"/>
      <c r="E39" s="5">
        <f t="shared" si="2"/>
        <v>13.68</v>
      </c>
      <c r="F39" s="5">
        <v>2</v>
      </c>
      <c r="G39" s="5">
        <f t="shared" si="1"/>
        <v>27.36</v>
      </c>
    </row>
    <row r="40" spans="1:7" x14ac:dyDescent="0.2">
      <c r="B40" s="5">
        <v>1.8</v>
      </c>
      <c r="C40" s="5">
        <v>3.8</v>
      </c>
      <c r="D40" s="5"/>
      <c r="E40" s="5">
        <f t="shared" si="2"/>
        <v>6.84</v>
      </c>
      <c r="F40" s="5">
        <v>2</v>
      </c>
      <c r="G40" s="5">
        <f t="shared" si="1"/>
        <v>13.68</v>
      </c>
    </row>
    <row r="41" spans="1:7" x14ac:dyDescent="0.2">
      <c r="B41" s="5">
        <v>-1.8</v>
      </c>
      <c r="C41" s="5">
        <v>2.5499999999999998</v>
      </c>
      <c r="D41" s="5"/>
      <c r="E41" s="5">
        <f t="shared" si="2"/>
        <v>-4.59</v>
      </c>
      <c r="F41" s="5">
        <v>1</v>
      </c>
      <c r="G41" s="5">
        <f t="shared" si="1"/>
        <v>-4.59</v>
      </c>
    </row>
    <row r="42" spans="1:7" x14ac:dyDescent="0.2">
      <c r="A42" t="s">
        <v>231</v>
      </c>
      <c r="B42" s="5"/>
      <c r="C42" s="5"/>
      <c r="D42" s="5"/>
      <c r="E42" s="5"/>
      <c r="F42" s="5"/>
      <c r="G42" s="5">
        <f t="shared" si="1"/>
        <v>0</v>
      </c>
    </row>
    <row r="43" spans="1:7" x14ac:dyDescent="0.2">
      <c r="B43" s="5">
        <v>1.4</v>
      </c>
      <c r="C43" s="5">
        <v>3.8</v>
      </c>
      <c r="D43" s="5"/>
      <c r="E43" s="5">
        <f t="shared" si="2"/>
        <v>5.3199999999999994</v>
      </c>
      <c r="F43" s="5">
        <v>2</v>
      </c>
      <c r="G43" s="5">
        <f t="shared" si="1"/>
        <v>10.639999999999999</v>
      </c>
    </row>
    <row r="44" spans="1:7" x14ac:dyDescent="0.2">
      <c r="B44" s="5">
        <v>0.74</v>
      </c>
      <c r="C44" s="5">
        <v>3.8</v>
      </c>
      <c r="D44" s="5"/>
      <c r="E44" s="5">
        <f t="shared" si="2"/>
        <v>2.8119999999999998</v>
      </c>
      <c r="F44" s="5">
        <v>2</v>
      </c>
      <c r="G44" s="5">
        <f t="shared" si="1"/>
        <v>5.6239999999999997</v>
      </c>
    </row>
    <row r="45" spans="1:7" x14ac:dyDescent="0.2">
      <c r="A45" t="s">
        <v>232</v>
      </c>
      <c r="B45" s="5"/>
      <c r="C45" s="5"/>
      <c r="D45" s="5"/>
      <c r="E45" s="5"/>
      <c r="F45" s="5"/>
      <c r="G45" s="5">
        <f t="shared" si="1"/>
        <v>0</v>
      </c>
    </row>
    <row r="46" spans="1:7" x14ac:dyDescent="0.2">
      <c r="B46" s="5">
        <v>2.86</v>
      </c>
      <c r="C46" s="5">
        <v>3.8</v>
      </c>
      <c r="D46" s="5"/>
      <c r="E46" s="5">
        <f t="shared" ref="E46:E52" si="3">B46*C46</f>
        <v>10.867999999999999</v>
      </c>
      <c r="F46" s="5">
        <v>2</v>
      </c>
      <c r="G46" s="5">
        <f t="shared" si="1"/>
        <v>21.735999999999997</v>
      </c>
    </row>
    <row r="47" spans="1:7" x14ac:dyDescent="0.2">
      <c r="B47" s="5">
        <v>2.86</v>
      </c>
      <c r="C47" s="5">
        <v>3.8</v>
      </c>
      <c r="D47" s="5"/>
      <c r="E47" s="5">
        <f t="shared" si="3"/>
        <v>10.867999999999999</v>
      </c>
      <c r="F47" s="5">
        <v>2</v>
      </c>
      <c r="G47" s="5">
        <f t="shared" si="1"/>
        <v>21.735999999999997</v>
      </c>
    </row>
    <row r="48" spans="1:7" x14ac:dyDescent="0.2">
      <c r="B48" s="5">
        <v>2.6</v>
      </c>
      <c r="C48" s="5">
        <v>3.8</v>
      </c>
      <c r="D48" s="5"/>
      <c r="E48" s="5">
        <f t="shared" si="3"/>
        <v>9.879999999999999</v>
      </c>
      <c r="F48" s="5">
        <v>2</v>
      </c>
      <c r="G48" s="5">
        <f t="shared" si="1"/>
        <v>19.759999999999998</v>
      </c>
    </row>
    <row r="49" spans="1:7" x14ac:dyDescent="0.2">
      <c r="B49" s="5">
        <v>0.8</v>
      </c>
      <c r="C49" s="5">
        <v>3.8</v>
      </c>
      <c r="D49" s="5"/>
      <c r="E49" s="5">
        <f t="shared" si="3"/>
        <v>3.04</v>
      </c>
      <c r="F49" s="5">
        <v>2</v>
      </c>
      <c r="G49" s="5">
        <f t="shared" si="1"/>
        <v>6.08</v>
      </c>
    </row>
    <row r="50" spans="1:7" x14ac:dyDescent="0.2">
      <c r="B50" s="5">
        <v>0.8</v>
      </c>
      <c r="C50" s="5">
        <v>3.8</v>
      </c>
      <c r="D50" s="5"/>
      <c r="E50" s="5">
        <f t="shared" si="3"/>
        <v>3.04</v>
      </c>
      <c r="F50" s="5">
        <v>2</v>
      </c>
      <c r="G50" s="5">
        <f t="shared" si="1"/>
        <v>6.08</v>
      </c>
    </row>
    <row r="51" spans="1:7" x14ac:dyDescent="0.2">
      <c r="A51" t="s">
        <v>235</v>
      </c>
      <c r="B51" s="5"/>
      <c r="C51" s="5"/>
      <c r="D51" s="5"/>
      <c r="E51" s="5"/>
      <c r="F51" s="5"/>
      <c r="G51" s="5">
        <f t="shared" si="1"/>
        <v>0</v>
      </c>
    </row>
    <row r="52" spans="1:7" x14ac:dyDescent="0.2">
      <c r="B52" s="5">
        <v>12.6</v>
      </c>
      <c r="C52" s="5">
        <v>2.8</v>
      </c>
      <c r="D52" s="5"/>
      <c r="E52" s="5">
        <f t="shared" si="3"/>
        <v>35.279999999999994</v>
      </c>
      <c r="F52" s="5">
        <v>1</v>
      </c>
      <c r="G52" s="5">
        <f t="shared" si="1"/>
        <v>35.279999999999994</v>
      </c>
    </row>
    <row r="53" spans="1:7" x14ac:dyDescent="0.2">
      <c r="B53" s="5"/>
      <c r="C53" s="5"/>
      <c r="D53" s="5"/>
      <c r="E53" s="5"/>
      <c r="F53" s="5"/>
      <c r="G53" s="5">
        <f t="shared" si="1"/>
        <v>0</v>
      </c>
    </row>
    <row r="54" spans="1:7" x14ac:dyDescent="0.2">
      <c r="A54" s="3" t="s">
        <v>236</v>
      </c>
      <c r="B54" s="5"/>
      <c r="C54" s="4"/>
      <c r="D54" s="4"/>
      <c r="E54" s="4"/>
      <c r="F54" s="5"/>
      <c r="G54" s="5">
        <f t="shared" si="1"/>
        <v>0</v>
      </c>
    </row>
    <row r="55" spans="1:7" x14ac:dyDescent="0.2">
      <c r="A55" t="s">
        <v>237</v>
      </c>
      <c r="B55" s="5"/>
      <c r="C55" s="5"/>
      <c r="D55" s="5"/>
      <c r="E55" s="5"/>
      <c r="F55" s="5"/>
      <c r="G55" s="5">
        <f t="shared" si="1"/>
        <v>0</v>
      </c>
    </row>
    <row r="56" spans="1:7" x14ac:dyDescent="0.2">
      <c r="B56" s="5">
        <v>25.3</v>
      </c>
      <c r="C56" s="5">
        <v>2.8</v>
      </c>
      <c r="D56" s="5"/>
      <c r="E56" s="5">
        <f t="shared" ref="E56:E85" si="4">B56*C56</f>
        <v>70.84</v>
      </c>
      <c r="F56" s="5">
        <v>1</v>
      </c>
      <c r="G56" s="5">
        <f t="shared" si="1"/>
        <v>70.84</v>
      </c>
    </row>
    <row r="57" spans="1:7" x14ac:dyDescent="0.2">
      <c r="B57" s="5">
        <v>9.1999999999999993</v>
      </c>
      <c r="C57" s="5">
        <v>2.8</v>
      </c>
      <c r="D57" s="5"/>
      <c r="E57" s="5">
        <f t="shared" si="4"/>
        <v>25.759999999999998</v>
      </c>
      <c r="F57" s="5">
        <v>1</v>
      </c>
      <c r="G57" s="5">
        <f t="shared" si="1"/>
        <v>25.759999999999998</v>
      </c>
    </row>
    <row r="58" spans="1:7" x14ac:dyDescent="0.2">
      <c r="B58" s="5">
        <v>4.9400000000000004</v>
      </c>
      <c r="C58" s="5">
        <v>2.8</v>
      </c>
      <c r="D58" s="5"/>
      <c r="E58" s="5">
        <f t="shared" si="4"/>
        <v>13.832000000000001</v>
      </c>
      <c r="F58" s="5">
        <v>1</v>
      </c>
      <c r="G58" s="5">
        <f t="shared" si="1"/>
        <v>13.832000000000001</v>
      </c>
    </row>
    <row r="59" spans="1:7" x14ac:dyDescent="0.2">
      <c r="B59" s="5">
        <v>12.36</v>
      </c>
      <c r="C59" s="5">
        <v>2.8</v>
      </c>
      <c r="D59" s="5"/>
      <c r="E59" s="5">
        <f t="shared" si="4"/>
        <v>34.607999999999997</v>
      </c>
      <c r="F59" s="5">
        <v>1</v>
      </c>
      <c r="G59" s="5">
        <f t="shared" si="1"/>
        <v>34.607999999999997</v>
      </c>
    </row>
    <row r="60" spans="1:7" x14ac:dyDescent="0.2">
      <c r="B60" s="5">
        <v>0.76</v>
      </c>
      <c r="C60" s="5">
        <v>2.8</v>
      </c>
      <c r="D60" s="5"/>
      <c r="E60" s="5">
        <f t="shared" si="4"/>
        <v>2.1279999999999997</v>
      </c>
      <c r="F60" s="5">
        <v>1</v>
      </c>
      <c r="G60" s="5">
        <f t="shared" si="1"/>
        <v>2.1279999999999997</v>
      </c>
    </row>
    <row r="61" spans="1:7" x14ac:dyDescent="0.2">
      <c r="B61" s="5">
        <v>0.76</v>
      </c>
      <c r="C61" s="5">
        <v>2.8</v>
      </c>
      <c r="D61" s="5"/>
      <c r="E61" s="5">
        <f t="shared" si="4"/>
        <v>2.1279999999999997</v>
      </c>
      <c r="F61" s="5">
        <v>1</v>
      </c>
      <c r="G61" s="5">
        <f t="shared" si="1"/>
        <v>2.1279999999999997</v>
      </c>
    </row>
    <row r="62" spans="1:7" x14ac:dyDescent="0.2">
      <c r="B62" s="5">
        <v>1.8</v>
      </c>
      <c r="C62" s="5">
        <v>2.8</v>
      </c>
      <c r="D62" s="5"/>
      <c r="E62" s="5">
        <f t="shared" si="4"/>
        <v>5.04</v>
      </c>
      <c r="F62" s="5">
        <v>1</v>
      </c>
      <c r="G62" s="5">
        <f t="shared" si="1"/>
        <v>5.04</v>
      </c>
    </row>
    <row r="63" spans="1:7" x14ac:dyDescent="0.2">
      <c r="B63" s="5">
        <v>-1.4</v>
      </c>
      <c r="C63" s="5">
        <v>2.5499999999999998</v>
      </c>
      <c r="D63" s="5"/>
      <c r="E63" s="5">
        <f t="shared" si="4"/>
        <v>-3.5699999999999994</v>
      </c>
      <c r="F63" s="5">
        <v>1</v>
      </c>
      <c r="G63" s="5">
        <f t="shared" si="1"/>
        <v>-3.5699999999999994</v>
      </c>
    </row>
    <row r="64" spans="1:7" x14ac:dyDescent="0.2">
      <c r="B64" s="5">
        <v>31.28</v>
      </c>
      <c r="C64" s="5">
        <v>2.8</v>
      </c>
      <c r="D64" s="5"/>
      <c r="E64" s="5">
        <f t="shared" si="4"/>
        <v>87.584000000000003</v>
      </c>
      <c r="F64" s="5">
        <v>1</v>
      </c>
      <c r="G64" s="5">
        <f t="shared" si="1"/>
        <v>87.584000000000003</v>
      </c>
    </row>
    <row r="65" spans="1:7" x14ac:dyDescent="0.2">
      <c r="B65" s="5">
        <v>2.2400000000000002</v>
      </c>
      <c r="C65" s="5">
        <v>2.8</v>
      </c>
      <c r="D65" s="5"/>
      <c r="E65" s="5">
        <f t="shared" si="4"/>
        <v>6.2720000000000002</v>
      </c>
      <c r="F65" s="5">
        <v>1</v>
      </c>
      <c r="G65" s="5">
        <f t="shared" si="1"/>
        <v>6.2720000000000002</v>
      </c>
    </row>
    <row r="66" spans="1:7" x14ac:dyDescent="0.2">
      <c r="A66" t="s">
        <v>230</v>
      </c>
      <c r="B66" s="5"/>
      <c r="C66" s="5"/>
      <c r="D66" s="5"/>
      <c r="E66" s="5"/>
      <c r="F66" s="5"/>
      <c r="G66" s="5">
        <f t="shared" si="1"/>
        <v>0</v>
      </c>
    </row>
    <row r="67" spans="1:7" x14ac:dyDescent="0.2">
      <c r="B67" s="5">
        <v>13.6</v>
      </c>
      <c r="C67" s="5">
        <v>3.8</v>
      </c>
      <c r="D67" s="5"/>
      <c r="E67" s="5">
        <f t="shared" si="4"/>
        <v>51.68</v>
      </c>
      <c r="F67" s="5">
        <v>2</v>
      </c>
      <c r="G67" s="5">
        <f t="shared" si="1"/>
        <v>103.36</v>
      </c>
    </row>
    <row r="68" spans="1:7" x14ac:dyDescent="0.2">
      <c r="B68" s="5">
        <v>-1.8</v>
      </c>
      <c r="C68" s="5">
        <v>3.8</v>
      </c>
      <c r="D68" s="5"/>
      <c r="E68" s="5">
        <f t="shared" si="4"/>
        <v>-6.84</v>
      </c>
      <c r="F68" s="5">
        <v>1</v>
      </c>
      <c r="G68" s="5">
        <f t="shared" si="1"/>
        <v>-6.84</v>
      </c>
    </row>
    <row r="69" spans="1:7" x14ac:dyDescent="0.2">
      <c r="B69" s="5">
        <v>-1.4</v>
      </c>
      <c r="C69" s="5">
        <v>3.8</v>
      </c>
      <c r="D69" s="5"/>
      <c r="E69" s="5">
        <f t="shared" si="4"/>
        <v>-5.3199999999999994</v>
      </c>
      <c r="F69" s="5">
        <v>1</v>
      </c>
      <c r="G69" s="5">
        <f t="shared" si="1"/>
        <v>-5.3199999999999994</v>
      </c>
    </row>
    <row r="70" spans="1:7" x14ac:dyDescent="0.2">
      <c r="A70" t="s">
        <v>238</v>
      </c>
      <c r="B70" s="5"/>
      <c r="C70" s="5"/>
      <c r="D70" s="5"/>
      <c r="E70" s="5"/>
      <c r="F70" s="5"/>
      <c r="G70" s="5">
        <f t="shared" ref="G70:G94" si="5">E70*F70</f>
        <v>0</v>
      </c>
    </row>
    <row r="71" spans="1:7" x14ac:dyDescent="0.2">
      <c r="B71" s="5">
        <v>12.48</v>
      </c>
      <c r="C71" s="5">
        <v>0.9</v>
      </c>
      <c r="D71" s="5"/>
      <c r="E71" s="5">
        <f t="shared" si="4"/>
        <v>11.232000000000001</v>
      </c>
      <c r="F71" s="5">
        <v>1</v>
      </c>
      <c r="G71" s="4"/>
    </row>
    <row r="72" spans="1:7" x14ac:dyDescent="0.2">
      <c r="B72" s="5">
        <v>12.48</v>
      </c>
      <c r="C72" s="5">
        <v>0.9</v>
      </c>
      <c r="D72" s="5"/>
      <c r="E72" s="5">
        <f t="shared" si="4"/>
        <v>11.232000000000001</v>
      </c>
      <c r="F72" s="5">
        <v>1</v>
      </c>
      <c r="G72" s="4"/>
    </row>
    <row r="73" spans="1:7" x14ac:dyDescent="0.2">
      <c r="B73" s="5">
        <v>12.36</v>
      </c>
      <c r="C73" s="5">
        <v>0.9</v>
      </c>
      <c r="D73" s="5"/>
      <c r="E73" s="5">
        <f t="shared" si="4"/>
        <v>11.124000000000001</v>
      </c>
      <c r="F73" s="5">
        <v>1</v>
      </c>
      <c r="G73" s="4"/>
    </row>
    <row r="74" spans="1:7" x14ac:dyDescent="0.2">
      <c r="B74" s="5"/>
      <c r="C74" s="5"/>
      <c r="D74" s="5"/>
      <c r="E74" s="5"/>
      <c r="F74" s="5"/>
      <c r="G74" s="5">
        <f t="shared" si="5"/>
        <v>0</v>
      </c>
    </row>
    <row r="75" spans="1:7" x14ac:dyDescent="0.2">
      <c r="A75" s="3" t="s">
        <v>239</v>
      </c>
      <c r="B75" s="5"/>
      <c r="C75" s="4"/>
      <c r="D75" s="4"/>
      <c r="E75" s="4"/>
      <c r="F75" s="5"/>
      <c r="G75" s="5">
        <f t="shared" si="5"/>
        <v>0</v>
      </c>
    </row>
    <row r="76" spans="1:7" x14ac:dyDescent="0.2">
      <c r="A76" t="s">
        <v>240</v>
      </c>
      <c r="B76" s="5"/>
      <c r="C76" s="5"/>
      <c r="D76" s="5"/>
      <c r="E76" s="5"/>
      <c r="F76" s="5"/>
      <c r="G76" s="5">
        <f t="shared" si="5"/>
        <v>0</v>
      </c>
    </row>
    <row r="77" spans="1:7" x14ac:dyDescent="0.2">
      <c r="B77" s="5">
        <v>18.45</v>
      </c>
      <c r="C77" s="5">
        <v>3.8</v>
      </c>
      <c r="D77" s="5"/>
      <c r="E77" s="5">
        <f t="shared" si="4"/>
        <v>70.11</v>
      </c>
      <c r="F77" s="5">
        <v>1</v>
      </c>
      <c r="G77" s="4"/>
    </row>
    <row r="78" spans="1:7" x14ac:dyDescent="0.2">
      <c r="B78" s="5">
        <v>0.84</v>
      </c>
      <c r="C78" s="5">
        <v>0.9</v>
      </c>
      <c r="D78" s="5"/>
      <c r="E78" s="5">
        <f t="shared" si="4"/>
        <v>0.75600000000000001</v>
      </c>
      <c r="F78" s="5">
        <v>1</v>
      </c>
      <c r="G78" s="4"/>
    </row>
    <row r="79" spans="1:7" x14ac:dyDescent="0.2">
      <c r="B79" s="5">
        <v>24.45</v>
      </c>
      <c r="C79" s="5">
        <v>3.8</v>
      </c>
      <c r="D79" s="5"/>
      <c r="E79" s="5">
        <f t="shared" si="4"/>
        <v>92.91</v>
      </c>
      <c r="F79" s="5">
        <v>1</v>
      </c>
      <c r="G79" s="4"/>
    </row>
    <row r="80" spans="1:7" x14ac:dyDescent="0.2">
      <c r="B80" s="5">
        <v>9.6</v>
      </c>
      <c r="C80" s="5">
        <v>0.9</v>
      </c>
      <c r="D80" s="5"/>
      <c r="E80" s="5">
        <f t="shared" si="4"/>
        <v>8.64</v>
      </c>
      <c r="F80" s="5">
        <v>1</v>
      </c>
      <c r="G80" s="4"/>
    </row>
    <row r="81" spans="1:7" x14ac:dyDescent="0.2">
      <c r="B81" s="5">
        <v>12.6</v>
      </c>
      <c r="C81" s="5">
        <v>0.9</v>
      </c>
      <c r="D81" s="5"/>
      <c r="E81" s="5">
        <f t="shared" si="4"/>
        <v>11.34</v>
      </c>
      <c r="F81" s="5">
        <v>1</v>
      </c>
      <c r="G81" s="4"/>
    </row>
    <row r="82" spans="1:7" x14ac:dyDescent="0.2">
      <c r="B82" s="5">
        <v>3.28</v>
      </c>
      <c r="C82" s="5">
        <v>0.9</v>
      </c>
      <c r="D82" s="5"/>
      <c r="E82" s="5">
        <f t="shared" si="4"/>
        <v>2.952</v>
      </c>
      <c r="F82" s="5">
        <v>1</v>
      </c>
      <c r="G82" s="4"/>
    </row>
    <row r="83" spans="1:7" x14ac:dyDescent="0.2">
      <c r="B83" s="5">
        <v>31</v>
      </c>
      <c r="C83" s="5">
        <v>0.9</v>
      </c>
      <c r="D83" s="5"/>
      <c r="E83" s="5">
        <f t="shared" si="4"/>
        <v>27.900000000000002</v>
      </c>
      <c r="F83" s="5">
        <v>1</v>
      </c>
      <c r="G83" s="4"/>
    </row>
    <row r="84" spans="1:7" x14ac:dyDescent="0.2">
      <c r="B84" s="5">
        <v>5.8</v>
      </c>
      <c r="C84" s="5">
        <v>0.9</v>
      </c>
      <c r="D84" s="5"/>
      <c r="E84" s="5">
        <f t="shared" si="4"/>
        <v>5.22</v>
      </c>
      <c r="F84" s="5">
        <v>1</v>
      </c>
      <c r="G84" s="4"/>
    </row>
    <row r="85" spans="1:7" x14ac:dyDescent="0.2">
      <c r="B85" s="5">
        <v>3.52</v>
      </c>
      <c r="C85" s="5">
        <v>0.9</v>
      </c>
      <c r="D85" s="5"/>
      <c r="E85" s="5">
        <f t="shared" si="4"/>
        <v>3.1680000000000001</v>
      </c>
      <c r="F85" s="5">
        <v>1</v>
      </c>
      <c r="G85" s="4"/>
    </row>
    <row r="86" spans="1:7" x14ac:dyDescent="0.2">
      <c r="B86" s="5"/>
      <c r="C86" s="5"/>
      <c r="D86" s="5"/>
      <c r="E86" s="5"/>
      <c r="F86" s="5"/>
      <c r="G86" s="5">
        <f t="shared" si="5"/>
        <v>0</v>
      </c>
    </row>
    <row r="87" spans="1:7" x14ac:dyDescent="0.2">
      <c r="A87" s="3" t="s">
        <v>241</v>
      </c>
      <c r="B87" s="5"/>
      <c r="C87" s="4"/>
      <c r="D87" s="4"/>
      <c r="E87" s="4"/>
      <c r="F87" s="5"/>
      <c r="G87" s="5">
        <f t="shared" si="5"/>
        <v>0</v>
      </c>
    </row>
    <row r="88" spans="1:7" x14ac:dyDescent="0.2">
      <c r="B88" s="5">
        <v>4.38</v>
      </c>
      <c r="C88" s="5">
        <v>3.8</v>
      </c>
      <c r="D88" s="5"/>
      <c r="E88" s="5">
        <f t="shared" ref="E88:E93" si="6">B88*C88</f>
        <v>16.643999999999998</v>
      </c>
      <c r="F88" s="5">
        <v>2</v>
      </c>
      <c r="G88" s="5">
        <f t="shared" si="5"/>
        <v>33.287999999999997</v>
      </c>
    </row>
    <row r="89" spans="1:7" x14ac:dyDescent="0.2">
      <c r="B89" s="5">
        <v>2.86</v>
      </c>
      <c r="C89" s="5">
        <v>3.8</v>
      </c>
      <c r="D89" s="5"/>
      <c r="E89" s="5">
        <f t="shared" si="6"/>
        <v>10.867999999999999</v>
      </c>
      <c r="F89" s="5">
        <v>2</v>
      </c>
      <c r="G89" s="5">
        <f t="shared" si="5"/>
        <v>21.735999999999997</v>
      </c>
    </row>
    <row r="90" spans="1:7" x14ac:dyDescent="0.2">
      <c r="B90" s="5">
        <v>2.86</v>
      </c>
      <c r="C90" s="5">
        <v>3.8</v>
      </c>
      <c r="D90" s="5"/>
      <c r="E90" s="5">
        <f t="shared" si="6"/>
        <v>10.867999999999999</v>
      </c>
      <c r="F90" s="5">
        <v>2</v>
      </c>
      <c r="G90" s="5">
        <f t="shared" si="5"/>
        <v>21.735999999999997</v>
      </c>
    </row>
    <row r="91" spans="1:7" x14ac:dyDescent="0.2">
      <c r="B91" s="5">
        <v>2.6</v>
      </c>
      <c r="C91" s="5">
        <v>3.8</v>
      </c>
      <c r="D91" s="5"/>
      <c r="E91" s="5">
        <f t="shared" si="6"/>
        <v>9.879999999999999</v>
      </c>
      <c r="F91" s="5">
        <v>2</v>
      </c>
      <c r="G91" s="5">
        <f t="shared" si="5"/>
        <v>19.759999999999998</v>
      </c>
    </row>
    <row r="92" spans="1:7" x14ac:dyDescent="0.2">
      <c r="B92" s="5">
        <v>0.8</v>
      </c>
      <c r="C92" s="5">
        <v>3.8</v>
      </c>
      <c r="D92" s="5"/>
      <c r="E92" s="5">
        <f t="shared" si="6"/>
        <v>3.04</v>
      </c>
      <c r="F92" s="5">
        <v>2</v>
      </c>
      <c r="G92" s="5">
        <f t="shared" si="5"/>
        <v>6.08</v>
      </c>
    </row>
    <row r="93" spans="1:7" x14ac:dyDescent="0.2">
      <c r="B93" s="5">
        <v>0.8</v>
      </c>
      <c r="C93" s="5">
        <v>3.8</v>
      </c>
      <c r="D93" s="5"/>
      <c r="E93" s="5">
        <f t="shared" si="6"/>
        <v>3.04</v>
      </c>
      <c r="F93" s="5">
        <v>2</v>
      </c>
      <c r="G93" s="5">
        <f t="shared" si="5"/>
        <v>6.08</v>
      </c>
    </row>
    <row r="94" spans="1:7" x14ac:dyDescent="0.2">
      <c r="B94" s="5"/>
      <c r="C94" s="5"/>
      <c r="D94" s="5"/>
      <c r="E94" s="5"/>
      <c r="F94" s="5"/>
      <c r="G94" s="5">
        <f t="shared" si="5"/>
        <v>0</v>
      </c>
    </row>
    <row r="95" spans="1:7" x14ac:dyDescent="0.2">
      <c r="B95" s="5"/>
      <c r="C95" s="5"/>
      <c r="D95" s="5"/>
      <c r="E95" s="5"/>
      <c r="F95" s="5"/>
      <c r="G95" s="5"/>
    </row>
    <row r="96" spans="1:7" x14ac:dyDescent="0.2">
      <c r="B96" s="5"/>
      <c r="C96" s="5"/>
      <c r="D96" s="5"/>
      <c r="E96" s="5"/>
      <c r="F96" s="5" t="s">
        <v>267</v>
      </c>
      <c r="G96" s="5">
        <f>SUM(G5:G95)</f>
        <v>1547.5909999999999</v>
      </c>
    </row>
    <row r="100" spans="1:4" x14ac:dyDescent="0.2">
      <c r="A100" s="3" t="s">
        <v>228</v>
      </c>
      <c r="B100" s="3"/>
      <c r="C100" s="3"/>
    </row>
    <row r="101" spans="1:4" x14ac:dyDescent="0.2">
      <c r="A101" t="s">
        <v>244</v>
      </c>
    </row>
    <row r="102" spans="1:4" x14ac:dyDescent="0.2">
      <c r="A102" t="s">
        <v>245</v>
      </c>
    </row>
    <row r="103" spans="1:4" x14ac:dyDescent="0.2">
      <c r="A103">
        <v>4.88</v>
      </c>
      <c r="B103">
        <v>2.8</v>
      </c>
      <c r="C103">
        <v>2</v>
      </c>
      <c r="D103">
        <f>(A103*B103)*C103</f>
        <v>27.327999999999999</v>
      </c>
    </row>
    <row r="104" spans="1:4" x14ac:dyDescent="0.2">
      <c r="A104">
        <v>4.2</v>
      </c>
      <c r="B104">
        <v>2.8</v>
      </c>
      <c r="C104">
        <v>2</v>
      </c>
      <c r="D104">
        <f t="shared" ref="D104:D122" si="7">(A104*B104)*C104</f>
        <v>23.52</v>
      </c>
    </row>
    <row r="105" spans="1:4" x14ac:dyDescent="0.2">
      <c r="A105">
        <v>4.71</v>
      </c>
      <c r="B105">
        <v>2.8</v>
      </c>
      <c r="C105">
        <v>2</v>
      </c>
      <c r="D105">
        <f t="shared" si="7"/>
        <v>26.375999999999998</v>
      </c>
    </row>
    <row r="106" spans="1:4" x14ac:dyDescent="0.2">
      <c r="A106">
        <v>4.71</v>
      </c>
      <c r="B106">
        <v>2.8</v>
      </c>
      <c r="C106">
        <v>2</v>
      </c>
      <c r="D106">
        <f t="shared" si="7"/>
        <v>26.375999999999998</v>
      </c>
    </row>
    <row r="107" spans="1:4" x14ac:dyDescent="0.2">
      <c r="A107">
        <v>-0.7</v>
      </c>
      <c r="B107">
        <v>2.5499999999999998</v>
      </c>
      <c r="C107">
        <v>2</v>
      </c>
      <c r="D107">
        <f>(A107*B107)*C107</f>
        <v>-3.5699999999999994</v>
      </c>
    </row>
    <row r="108" spans="1:4" x14ac:dyDescent="0.2">
      <c r="A108">
        <v>4.2</v>
      </c>
      <c r="B108">
        <v>2.8</v>
      </c>
      <c r="C108">
        <v>2</v>
      </c>
      <c r="D108">
        <f t="shared" si="7"/>
        <v>23.52</v>
      </c>
    </row>
    <row r="109" spans="1:4" x14ac:dyDescent="0.2">
      <c r="A109">
        <v>4.57</v>
      </c>
      <c r="B109">
        <v>2.8</v>
      </c>
      <c r="C109">
        <v>2</v>
      </c>
      <c r="D109">
        <f t="shared" si="7"/>
        <v>25.591999999999999</v>
      </c>
    </row>
    <row r="110" spans="1:4" x14ac:dyDescent="0.2">
      <c r="A110">
        <v>4.5199999999999996</v>
      </c>
      <c r="B110">
        <v>2.8</v>
      </c>
      <c r="C110">
        <v>2</v>
      </c>
      <c r="D110">
        <f t="shared" si="7"/>
        <v>25.311999999999998</v>
      </c>
    </row>
    <row r="111" spans="1:4" x14ac:dyDescent="0.2">
      <c r="A111">
        <v>3.13</v>
      </c>
      <c r="B111">
        <v>2.8</v>
      </c>
      <c r="C111">
        <v>2</v>
      </c>
      <c r="D111">
        <f t="shared" si="7"/>
        <v>17.527999999999999</v>
      </c>
    </row>
    <row r="112" spans="1:4" x14ac:dyDescent="0.2">
      <c r="A112">
        <v>-0.9</v>
      </c>
      <c r="B112">
        <v>2.5499999999999998</v>
      </c>
      <c r="C112">
        <v>2</v>
      </c>
      <c r="D112">
        <f t="shared" si="7"/>
        <v>-4.59</v>
      </c>
    </row>
    <row r="113" spans="1:4" x14ac:dyDescent="0.2">
      <c r="A113">
        <v>2.83</v>
      </c>
      <c r="B113">
        <v>2.8</v>
      </c>
      <c r="C113">
        <v>2</v>
      </c>
      <c r="D113">
        <f t="shared" si="7"/>
        <v>15.847999999999999</v>
      </c>
    </row>
    <row r="114" spans="1:4" x14ac:dyDescent="0.2">
      <c r="A114">
        <v>-0.7</v>
      </c>
      <c r="B114">
        <v>2.5499999999999998</v>
      </c>
      <c r="C114">
        <v>2</v>
      </c>
      <c r="D114">
        <f t="shared" si="7"/>
        <v>-3.5699999999999994</v>
      </c>
    </row>
    <row r="115" spans="1:4" x14ac:dyDescent="0.2">
      <c r="A115">
        <v>3.11</v>
      </c>
      <c r="B115">
        <v>2.8</v>
      </c>
      <c r="C115">
        <v>2</v>
      </c>
      <c r="D115">
        <f t="shared" si="7"/>
        <v>17.415999999999997</v>
      </c>
    </row>
    <row r="116" spans="1:4" x14ac:dyDescent="0.2">
      <c r="A116">
        <v>-0.7</v>
      </c>
      <c r="B116">
        <v>2.5499999999999998</v>
      </c>
      <c r="C116">
        <v>2</v>
      </c>
      <c r="D116">
        <f t="shared" si="7"/>
        <v>-3.5699999999999994</v>
      </c>
    </row>
    <row r="117" spans="1:4" x14ac:dyDescent="0.2">
      <c r="A117">
        <v>0.62</v>
      </c>
      <c r="B117">
        <v>2.8</v>
      </c>
      <c r="C117">
        <v>2</v>
      </c>
      <c r="D117">
        <f t="shared" si="7"/>
        <v>3.472</v>
      </c>
    </row>
    <row r="118" spans="1:4" x14ac:dyDescent="0.2">
      <c r="A118">
        <v>4.4800000000000004</v>
      </c>
      <c r="B118">
        <v>2.8</v>
      </c>
      <c r="C118">
        <v>2</v>
      </c>
      <c r="D118">
        <f t="shared" si="7"/>
        <v>25.088000000000001</v>
      </c>
    </row>
    <row r="119" spans="1:4" x14ac:dyDescent="0.2">
      <c r="A119">
        <v>3.28</v>
      </c>
      <c r="B119">
        <v>2.8</v>
      </c>
      <c r="C119">
        <v>2</v>
      </c>
      <c r="D119">
        <f t="shared" si="7"/>
        <v>18.367999999999999</v>
      </c>
    </row>
    <row r="120" spans="1:4" x14ac:dyDescent="0.2">
      <c r="A120">
        <v>3.28</v>
      </c>
      <c r="B120">
        <v>2.8</v>
      </c>
      <c r="C120">
        <v>2</v>
      </c>
      <c r="D120">
        <f t="shared" si="7"/>
        <v>18.367999999999999</v>
      </c>
    </row>
    <row r="121" spans="1:4" x14ac:dyDescent="0.2">
      <c r="A121">
        <v>0.94</v>
      </c>
      <c r="B121">
        <v>2.8</v>
      </c>
      <c r="C121">
        <v>2</v>
      </c>
      <c r="D121">
        <f t="shared" si="7"/>
        <v>5.2639999999999993</v>
      </c>
    </row>
    <row r="122" spans="1:4" x14ac:dyDescent="0.2">
      <c r="A122">
        <v>4.4800000000000004</v>
      </c>
      <c r="B122">
        <v>2.8</v>
      </c>
      <c r="C122">
        <v>2</v>
      </c>
      <c r="D122">
        <f t="shared" si="7"/>
        <v>25.088000000000001</v>
      </c>
    </row>
    <row r="123" spans="1:4" x14ac:dyDescent="0.2">
      <c r="A123" t="s">
        <v>246</v>
      </c>
    </row>
    <row r="124" spans="1:4" x14ac:dyDescent="0.2">
      <c r="A124">
        <v>6.08</v>
      </c>
      <c r="B124">
        <v>2.8</v>
      </c>
      <c r="C124">
        <v>6</v>
      </c>
      <c r="D124">
        <f>(A124*B124)*C124</f>
        <v>102.14399999999998</v>
      </c>
    </row>
    <row r="125" spans="1:4" x14ac:dyDescent="0.2">
      <c r="A125">
        <v>-0.9</v>
      </c>
      <c r="B125">
        <v>2.5499999999999998</v>
      </c>
      <c r="D125">
        <f t="shared" ref="D125" si="8">A125*B125</f>
        <v>-2.2949999999999999</v>
      </c>
    </row>
    <row r="126" spans="1:4" x14ac:dyDescent="0.2">
      <c r="A126">
        <v>2.54</v>
      </c>
      <c r="B126">
        <v>2.8</v>
      </c>
      <c r="C126">
        <v>2</v>
      </c>
      <c r="D126">
        <f t="shared" ref="D126:D130" si="9">(A126*B126)*C126</f>
        <v>14.223999999999998</v>
      </c>
    </row>
    <row r="127" spans="1:4" x14ac:dyDescent="0.2">
      <c r="A127">
        <v>4.88</v>
      </c>
      <c r="B127">
        <v>2.8</v>
      </c>
      <c r="C127">
        <v>2</v>
      </c>
      <c r="D127">
        <f t="shared" si="9"/>
        <v>27.327999999999999</v>
      </c>
    </row>
    <row r="128" spans="1:4" x14ac:dyDescent="0.2">
      <c r="A128">
        <v>3.28</v>
      </c>
      <c r="B128">
        <v>2.8</v>
      </c>
      <c r="C128">
        <v>2</v>
      </c>
      <c r="D128">
        <f t="shared" si="9"/>
        <v>18.367999999999999</v>
      </c>
    </row>
    <row r="129" spans="1:4" x14ac:dyDescent="0.2">
      <c r="A129">
        <v>5.4</v>
      </c>
      <c r="B129">
        <v>2.8</v>
      </c>
      <c r="C129">
        <v>2</v>
      </c>
      <c r="D129">
        <f t="shared" si="9"/>
        <v>30.24</v>
      </c>
    </row>
    <row r="130" spans="1:4" x14ac:dyDescent="0.2">
      <c r="A130">
        <v>5.38</v>
      </c>
      <c r="B130">
        <v>2.8</v>
      </c>
      <c r="C130">
        <v>2</v>
      </c>
      <c r="D130">
        <f t="shared" si="9"/>
        <v>30.127999999999997</v>
      </c>
    </row>
    <row r="131" spans="1:4" x14ac:dyDescent="0.2">
      <c r="A131">
        <v>-0.9</v>
      </c>
      <c r="B131">
        <v>2.5499999999999998</v>
      </c>
      <c r="C131">
        <v>3</v>
      </c>
      <c r="D131">
        <f>(A131*B131)*C131</f>
        <v>-6.8849999999999998</v>
      </c>
    </row>
    <row r="132" spans="1:4" x14ac:dyDescent="0.2">
      <c r="A132">
        <v>-1.74</v>
      </c>
      <c r="B132">
        <v>1.65</v>
      </c>
      <c r="D132">
        <f t="shared" ref="D132" si="10">A132*B132</f>
        <v>-2.871</v>
      </c>
    </row>
    <row r="133" spans="1:4" x14ac:dyDescent="0.2">
      <c r="A133">
        <v>5.38</v>
      </c>
      <c r="B133">
        <v>2.8</v>
      </c>
      <c r="C133">
        <v>2</v>
      </c>
      <c r="D133">
        <f t="shared" ref="D133" si="11">(A133*B133)*C133</f>
        <v>30.127999999999997</v>
      </c>
    </row>
    <row r="134" spans="1:4" x14ac:dyDescent="0.2">
      <c r="A134">
        <v>-0.9</v>
      </c>
      <c r="B134">
        <v>2.5499999999999998</v>
      </c>
      <c r="C134">
        <v>3</v>
      </c>
      <c r="D134">
        <f>(A134*B134)*C134</f>
        <v>-6.8849999999999998</v>
      </c>
    </row>
    <row r="135" spans="1:4" x14ac:dyDescent="0.2">
      <c r="A135">
        <v>-1.74</v>
      </c>
      <c r="B135">
        <v>1.65</v>
      </c>
      <c r="D135">
        <f t="shared" ref="D135" si="12">A135*B135</f>
        <v>-2.871</v>
      </c>
    </row>
    <row r="136" spans="1:4" x14ac:dyDescent="0.2">
      <c r="A136">
        <v>1.6</v>
      </c>
      <c r="B136">
        <v>2.8</v>
      </c>
      <c r="C136">
        <v>2</v>
      </c>
      <c r="D136">
        <f t="shared" ref="D136:D138" si="13">(A136*B136)*C136</f>
        <v>8.9599999999999991</v>
      </c>
    </row>
    <row r="137" spans="1:4" x14ac:dyDescent="0.2">
      <c r="A137" t="s">
        <v>248</v>
      </c>
    </row>
    <row r="138" spans="1:4" x14ac:dyDescent="0.2">
      <c r="A138">
        <v>7.46</v>
      </c>
      <c r="B138">
        <v>2.8</v>
      </c>
      <c r="C138">
        <v>2</v>
      </c>
      <c r="D138">
        <f t="shared" si="13"/>
        <v>41.775999999999996</v>
      </c>
    </row>
    <row r="139" spans="1:4" x14ac:dyDescent="0.2">
      <c r="A139">
        <v>-0.9</v>
      </c>
      <c r="B139">
        <v>2.5499999999999998</v>
      </c>
      <c r="C139">
        <v>2</v>
      </c>
      <c r="D139">
        <f>(A139*B139)*C139</f>
        <v>-4.59</v>
      </c>
    </row>
    <row r="140" spans="1:4" x14ac:dyDescent="0.2">
      <c r="A140">
        <v>-2.38</v>
      </c>
      <c r="B140">
        <v>1.65</v>
      </c>
      <c r="D140">
        <f t="shared" ref="D140:D157" si="14">A140*B140</f>
        <v>-3.9269999999999996</v>
      </c>
    </row>
    <row r="141" spans="1:4" x14ac:dyDescent="0.2">
      <c r="A141">
        <v>-1.72</v>
      </c>
      <c r="B141">
        <v>1.65</v>
      </c>
      <c r="D141">
        <f t="shared" si="14"/>
        <v>-2.8379999999999996</v>
      </c>
    </row>
    <row r="142" spans="1:4" x14ac:dyDescent="0.2">
      <c r="A142">
        <v>3.44</v>
      </c>
      <c r="B142">
        <v>2.8</v>
      </c>
      <c r="C142">
        <v>2</v>
      </c>
      <c r="D142">
        <f t="shared" ref="D142" si="15">(A142*B142)*C142</f>
        <v>19.263999999999999</v>
      </c>
    </row>
    <row r="143" spans="1:4" x14ac:dyDescent="0.2">
      <c r="A143">
        <v>-2.54</v>
      </c>
      <c r="B143">
        <v>1.65</v>
      </c>
      <c r="D143">
        <f t="shared" si="14"/>
        <v>-4.1909999999999998</v>
      </c>
    </row>
    <row r="144" spans="1:4" x14ac:dyDescent="0.2">
      <c r="A144">
        <v>-0.9</v>
      </c>
      <c r="B144">
        <v>2.5499999999999998</v>
      </c>
      <c r="D144">
        <f t="shared" si="14"/>
        <v>-2.2949999999999999</v>
      </c>
    </row>
    <row r="145" spans="1:4" x14ac:dyDescent="0.2">
      <c r="A145">
        <v>8.7200000000000006</v>
      </c>
      <c r="B145">
        <v>3.8</v>
      </c>
      <c r="C145">
        <v>2</v>
      </c>
      <c r="D145">
        <f t="shared" ref="D145:D147" si="16">(A145*B145)*C145</f>
        <v>66.272000000000006</v>
      </c>
    </row>
    <row r="146" spans="1:4" x14ac:dyDescent="0.2">
      <c r="A146">
        <v>-0.9</v>
      </c>
      <c r="B146">
        <v>2.5499999999999998</v>
      </c>
      <c r="C146">
        <v>3</v>
      </c>
      <c r="D146">
        <f>(A146*B146)*C146</f>
        <v>-6.8849999999999998</v>
      </c>
    </row>
    <row r="147" spans="1:4" x14ac:dyDescent="0.2">
      <c r="A147">
        <v>0.7</v>
      </c>
      <c r="B147">
        <v>2.5499999999999998</v>
      </c>
      <c r="C147">
        <v>2</v>
      </c>
      <c r="D147">
        <f t="shared" si="16"/>
        <v>3.5699999999999994</v>
      </c>
    </row>
    <row r="148" spans="1:4" x14ac:dyDescent="0.2">
      <c r="A148">
        <v>-1.72</v>
      </c>
      <c r="B148">
        <v>1.65</v>
      </c>
      <c r="D148">
        <f t="shared" si="14"/>
        <v>-2.8379999999999996</v>
      </c>
    </row>
    <row r="149" spans="1:4" x14ac:dyDescent="0.2">
      <c r="A149">
        <v>1.2</v>
      </c>
      <c r="B149">
        <v>3.8</v>
      </c>
      <c r="C149">
        <v>8</v>
      </c>
      <c r="D149">
        <f>(A149*B149)*C149</f>
        <v>36.479999999999997</v>
      </c>
    </row>
    <row r="150" spans="1:4" x14ac:dyDescent="0.2">
      <c r="A150">
        <v>2.74</v>
      </c>
      <c r="B150">
        <v>2.8</v>
      </c>
      <c r="C150">
        <v>2</v>
      </c>
      <c r="D150">
        <f t="shared" ref="D150" si="17">(A150*B150)*C150</f>
        <v>15.343999999999999</v>
      </c>
    </row>
    <row r="151" spans="1:4" x14ac:dyDescent="0.2">
      <c r="A151">
        <v>1.18</v>
      </c>
      <c r="B151">
        <v>2.8</v>
      </c>
      <c r="C151">
        <v>4</v>
      </c>
      <c r="D151">
        <f>(A151*B151)*C151</f>
        <v>13.215999999999999</v>
      </c>
    </row>
    <row r="152" spans="1:4" x14ac:dyDescent="0.2">
      <c r="A152">
        <v>-0.7</v>
      </c>
      <c r="B152">
        <v>2.5499999999999998</v>
      </c>
      <c r="D152">
        <f t="shared" si="14"/>
        <v>-1.7849999999999997</v>
      </c>
    </row>
    <row r="153" spans="1:4" x14ac:dyDescent="0.2">
      <c r="A153">
        <v>2.38</v>
      </c>
      <c r="B153">
        <v>2.8</v>
      </c>
      <c r="C153">
        <v>2</v>
      </c>
      <c r="D153">
        <f>(A153*B153)*C153</f>
        <v>13.327999999999999</v>
      </c>
    </row>
    <row r="154" spans="1:4" x14ac:dyDescent="0.2">
      <c r="A154">
        <v>-2.38</v>
      </c>
      <c r="B154">
        <v>1.65</v>
      </c>
      <c r="D154">
        <f t="shared" si="14"/>
        <v>-3.9269999999999996</v>
      </c>
    </row>
    <row r="155" spans="1:4" x14ac:dyDescent="0.2">
      <c r="A155">
        <v>10.7</v>
      </c>
      <c r="B155">
        <v>2.8</v>
      </c>
      <c r="C155">
        <v>2</v>
      </c>
      <c r="D155">
        <f>(A155*B155)*C155</f>
        <v>59.919999999999995</v>
      </c>
    </row>
    <row r="156" spans="1:4" x14ac:dyDescent="0.2">
      <c r="A156">
        <v>-0.9</v>
      </c>
      <c r="B156">
        <v>2.5499999999999998</v>
      </c>
      <c r="C156">
        <v>3</v>
      </c>
      <c r="D156">
        <f>(A156*B156)*C156</f>
        <v>-6.8849999999999998</v>
      </c>
    </row>
    <row r="157" spans="1:4" x14ac:dyDescent="0.2">
      <c r="A157">
        <v>-1.4</v>
      </c>
      <c r="B157">
        <v>2.5499999999999998</v>
      </c>
      <c r="D157">
        <f t="shared" si="14"/>
        <v>-3.5699999999999994</v>
      </c>
    </row>
    <row r="158" spans="1:4" x14ac:dyDescent="0.2">
      <c r="A158" t="s">
        <v>247</v>
      </c>
    </row>
    <row r="159" spans="1:4" x14ac:dyDescent="0.2">
      <c r="A159">
        <v>1.66</v>
      </c>
      <c r="B159">
        <v>2.8</v>
      </c>
      <c r="C159">
        <v>6</v>
      </c>
      <c r="D159">
        <f>(A159*B159)*C159</f>
        <v>27.887999999999998</v>
      </c>
    </row>
    <row r="160" spans="1:4" x14ac:dyDescent="0.2">
      <c r="A160">
        <v>-0.7</v>
      </c>
      <c r="B160">
        <v>2.5499999999999998</v>
      </c>
      <c r="C160">
        <v>3</v>
      </c>
      <c r="D160">
        <f>(A160*B160)*C160</f>
        <v>-5.3549999999999986</v>
      </c>
    </row>
    <row r="161" spans="1:4" x14ac:dyDescent="0.2">
      <c r="A161">
        <v>2.2599999999999998</v>
      </c>
      <c r="B161">
        <v>3.8</v>
      </c>
      <c r="C161">
        <v>2</v>
      </c>
      <c r="D161">
        <f t="shared" ref="D161:D167" si="18">(A161*B161)*C161</f>
        <v>17.175999999999998</v>
      </c>
    </row>
    <row r="162" spans="1:4" x14ac:dyDescent="0.2">
      <c r="A162">
        <v>2.54</v>
      </c>
      <c r="B162">
        <v>2.8</v>
      </c>
      <c r="C162">
        <v>2</v>
      </c>
      <c r="D162">
        <f t="shared" si="18"/>
        <v>14.223999999999998</v>
      </c>
    </row>
    <row r="163" spans="1:4" x14ac:dyDescent="0.2">
      <c r="A163">
        <v>2.72</v>
      </c>
      <c r="B163">
        <v>2.8</v>
      </c>
      <c r="C163">
        <v>2</v>
      </c>
      <c r="D163">
        <f t="shared" si="18"/>
        <v>15.231999999999999</v>
      </c>
    </row>
    <row r="164" spans="1:4" x14ac:dyDescent="0.2">
      <c r="A164">
        <v>-0.9</v>
      </c>
      <c r="B164">
        <v>2.5499999999999998</v>
      </c>
      <c r="D164">
        <f t="shared" ref="D164:D175" si="19">A164*B164</f>
        <v>-2.2949999999999999</v>
      </c>
    </row>
    <row r="165" spans="1:4" x14ac:dyDescent="0.2">
      <c r="A165">
        <v>4.78</v>
      </c>
      <c r="B165">
        <v>2.8</v>
      </c>
      <c r="C165">
        <v>2</v>
      </c>
      <c r="D165">
        <f t="shared" si="18"/>
        <v>26.768000000000001</v>
      </c>
    </row>
    <row r="166" spans="1:4" x14ac:dyDescent="0.2">
      <c r="A166">
        <v>-1.4</v>
      </c>
      <c r="B166">
        <v>2.5499999999999998</v>
      </c>
      <c r="D166">
        <f t="shared" si="19"/>
        <v>-3.5699999999999994</v>
      </c>
    </row>
    <row r="167" spans="1:4" x14ac:dyDescent="0.2">
      <c r="A167">
        <v>2.62</v>
      </c>
      <c r="B167">
        <v>2.8</v>
      </c>
      <c r="C167">
        <v>2</v>
      </c>
      <c r="D167">
        <f t="shared" si="18"/>
        <v>14.671999999999999</v>
      </c>
    </row>
    <row r="168" spans="1:4" x14ac:dyDescent="0.2">
      <c r="A168">
        <v>0.76</v>
      </c>
      <c r="B168">
        <v>2.8</v>
      </c>
      <c r="C168">
        <v>8</v>
      </c>
      <c r="D168">
        <f>(A168*B168)*C168</f>
        <v>17.023999999999997</v>
      </c>
    </row>
    <row r="169" spans="1:4" x14ac:dyDescent="0.2">
      <c r="A169">
        <v>1.94</v>
      </c>
      <c r="B169">
        <v>2.8</v>
      </c>
      <c r="C169">
        <v>2</v>
      </c>
      <c r="D169">
        <f t="shared" ref="D169:D173" si="20">(A169*B169)*C169</f>
        <v>10.863999999999999</v>
      </c>
    </row>
    <row r="170" spans="1:4" x14ac:dyDescent="0.2">
      <c r="A170">
        <v>0.8</v>
      </c>
      <c r="B170">
        <v>2.8</v>
      </c>
      <c r="C170">
        <v>2</v>
      </c>
      <c r="D170">
        <f t="shared" si="20"/>
        <v>4.4799999999999995</v>
      </c>
    </row>
    <row r="171" spans="1:4" x14ac:dyDescent="0.2">
      <c r="A171">
        <v>4.0599999999999996</v>
      </c>
      <c r="B171">
        <v>2.8</v>
      </c>
      <c r="C171">
        <v>6</v>
      </c>
      <c r="D171">
        <f t="shared" si="20"/>
        <v>68.207999999999998</v>
      </c>
    </row>
    <row r="172" spans="1:4" x14ac:dyDescent="0.2">
      <c r="A172">
        <v>3.66</v>
      </c>
      <c r="B172">
        <v>2.8</v>
      </c>
      <c r="C172">
        <v>2</v>
      </c>
      <c r="D172">
        <f t="shared" si="20"/>
        <v>20.495999999999999</v>
      </c>
    </row>
    <row r="173" spans="1:4" x14ac:dyDescent="0.2">
      <c r="A173">
        <v>6.1</v>
      </c>
      <c r="B173">
        <v>2.8</v>
      </c>
      <c r="C173">
        <v>2</v>
      </c>
      <c r="D173">
        <f t="shared" si="20"/>
        <v>34.159999999999997</v>
      </c>
    </row>
    <row r="174" spans="1:4" x14ac:dyDescent="0.2">
      <c r="A174">
        <v>-0.9</v>
      </c>
      <c r="B174">
        <v>2.5499999999999998</v>
      </c>
      <c r="D174">
        <f t="shared" si="19"/>
        <v>-2.2949999999999999</v>
      </c>
    </row>
    <row r="175" spans="1:4" x14ac:dyDescent="0.2">
      <c r="A175">
        <v>-1.1499999999999999</v>
      </c>
      <c r="B175">
        <v>1.65</v>
      </c>
      <c r="D175">
        <f t="shared" si="19"/>
        <v>-1.8974999999999997</v>
      </c>
    </row>
    <row r="177" spans="1:4" x14ac:dyDescent="0.2">
      <c r="A177" s="3" t="s">
        <v>236</v>
      </c>
      <c r="B177" s="3"/>
      <c r="C177" s="3"/>
    </row>
    <row r="178" spans="1:4" x14ac:dyDescent="0.2">
      <c r="A178" t="s">
        <v>249</v>
      </c>
    </row>
    <row r="179" spans="1:4" x14ac:dyDescent="0.2">
      <c r="A179">
        <v>7.46</v>
      </c>
      <c r="B179">
        <v>2.8</v>
      </c>
      <c r="C179">
        <v>2</v>
      </c>
      <c r="D179">
        <f t="shared" ref="D179" si="21">(A179*B179)*C179</f>
        <v>41.775999999999996</v>
      </c>
    </row>
    <row r="180" spans="1:4" x14ac:dyDescent="0.2">
      <c r="A180">
        <v>-3</v>
      </c>
      <c r="B180">
        <v>1.65</v>
      </c>
      <c r="D180">
        <f t="shared" ref="D180:D200" si="22">A180*B180</f>
        <v>-4.9499999999999993</v>
      </c>
    </row>
    <row r="181" spans="1:4" x14ac:dyDescent="0.2">
      <c r="A181">
        <v>-0.9</v>
      </c>
      <c r="B181">
        <v>2.5499999999999998</v>
      </c>
      <c r="D181">
        <f t="shared" si="22"/>
        <v>-2.2949999999999999</v>
      </c>
    </row>
    <row r="182" spans="1:4" x14ac:dyDescent="0.2">
      <c r="A182">
        <v>-2</v>
      </c>
      <c r="B182">
        <v>1.65</v>
      </c>
      <c r="D182">
        <f t="shared" si="22"/>
        <v>-3.3</v>
      </c>
    </row>
    <row r="183" spans="1:4" x14ac:dyDescent="0.2">
      <c r="A183">
        <v>-0.7</v>
      </c>
      <c r="B183">
        <v>2.5499999999999998</v>
      </c>
      <c r="D183">
        <f t="shared" si="22"/>
        <v>-1.7849999999999997</v>
      </c>
    </row>
    <row r="184" spans="1:4" x14ac:dyDescent="0.2">
      <c r="A184">
        <v>0.6</v>
      </c>
      <c r="B184">
        <v>2.8</v>
      </c>
      <c r="C184">
        <v>2</v>
      </c>
      <c r="D184">
        <f t="shared" ref="D184:D189" si="23">(A184*B184)*C184</f>
        <v>3.36</v>
      </c>
    </row>
    <row r="185" spans="1:4" x14ac:dyDescent="0.2">
      <c r="A185">
        <v>1.2</v>
      </c>
      <c r="B185">
        <v>2.8</v>
      </c>
      <c r="C185">
        <v>4</v>
      </c>
      <c r="D185">
        <f t="shared" si="23"/>
        <v>13.44</v>
      </c>
    </row>
    <row r="186" spans="1:4" x14ac:dyDescent="0.2">
      <c r="A186">
        <v>3.44</v>
      </c>
      <c r="B186">
        <v>2.8</v>
      </c>
      <c r="C186">
        <v>2</v>
      </c>
      <c r="D186">
        <f t="shared" si="23"/>
        <v>19.263999999999999</v>
      </c>
    </row>
    <row r="187" spans="1:4" x14ac:dyDescent="0.2">
      <c r="A187">
        <v>-3.44</v>
      </c>
      <c r="B187">
        <v>2.5499999999999998</v>
      </c>
      <c r="D187">
        <f t="shared" si="22"/>
        <v>-8.7719999999999985</v>
      </c>
    </row>
    <row r="188" spans="1:4" x14ac:dyDescent="0.2">
      <c r="A188">
        <v>1.2</v>
      </c>
      <c r="B188">
        <v>2.8</v>
      </c>
      <c r="C188">
        <v>4</v>
      </c>
      <c r="D188">
        <f t="shared" si="23"/>
        <v>13.44</v>
      </c>
    </row>
    <row r="189" spans="1:4" x14ac:dyDescent="0.2">
      <c r="A189">
        <v>12.36</v>
      </c>
      <c r="B189">
        <v>2.8</v>
      </c>
      <c r="C189">
        <v>2</v>
      </c>
      <c r="D189">
        <f t="shared" si="23"/>
        <v>69.215999999999994</v>
      </c>
    </row>
    <row r="190" spans="1:4" x14ac:dyDescent="0.2">
      <c r="A190">
        <v>-0.7</v>
      </c>
      <c r="B190">
        <v>2.5499999999999998</v>
      </c>
      <c r="D190">
        <f t="shared" si="22"/>
        <v>-1.7849999999999997</v>
      </c>
    </row>
    <row r="191" spans="1:4" x14ac:dyDescent="0.2">
      <c r="A191">
        <v>-0.9</v>
      </c>
      <c r="B191">
        <v>2.5499999999999998</v>
      </c>
      <c r="C191">
        <v>3</v>
      </c>
      <c r="D191">
        <f>(A191*B191)*C191</f>
        <v>-6.8849999999999998</v>
      </c>
    </row>
    <row r="192" spans="1:4" x14ac:dyDescent="0.2">
      <c r="A192">
        <v>-2.5499999999999998</v>
      </c>
      <c r="B192">
        <v>1.65</v>
      </c>
      <c r="D192">
        <f t="shared" si="22"/>
        <v>-4.2074999999999996</v>
      </c>
    </row>
    <row r="193" spans="1:4" x14ac:dyDescent="0.2">
      <c r="A193">
        <v>1.18</v>
      </c>
      <c r="B193">
        <v>2.8</v>
      </c>
      <c r="C193">
        <v>2</v>
      </c>
      <c r="D193">
        <f t="shared" si="22"/>
        <v>3.3039999999999998</v>
      </c>
    </row>
    <row r="194" spans="1:4" x14ac:dyDescent="0.2">
      <c r="A194">
        <v>-0.7</v>
      </c>
      <c r="B194">
        <v>2.5499999999999998</v>
      </c>
      <c r="D194">
        <f t="shared" si="22"/>
        <v>-1.7849999999999997</v>
      </c>
    </row>
    <row r="195" spans="1:4" x14ac:dyDescent="0.2">
      <c r="A195">
        <v>2.38</v>
      </c>
      <c r="B195">
        <v>2.8</v>
      </c>
      <c r="C195">
        <v>2</v>
      </c>
      <c r="D195">
        <f t="shared" ref="D195" si="24">(A195*B195)*C195</f>
        <v>13.327999999999999</v>
      </c>
    </row>
    <row r="196" spans="1:4" x14ac:dyDescent="0.2">
      <c r="A196">
        <v>-2.38</v>
      </c>
      <c r="B196">
        <v>1.65</v>
      </c>
      <c r="D196">
        <f t="shared" si="22"/>
        <v>-3.9269999999999996</v>
      </c>
    </row>
    <row r="197" spans="1:4" x14ac:dyDescent="0.2">
      <c r="A197" t="s">
        <v>250</v>
      </c>
    </row>
    <row r="198" spans="1:4" x14ac:dyDescent="0.2">
      <c r="A198">
        <v>14</v>
      </c>
      <c r="B198">
        <v>2.8</v>
      </c>
      <c r="C198">
        <v>2</v>
      </c>
      <c r="D198">
        <f t="shared" ref="D198" si="25">(A198*B198)*C198</f>
        <v>78.399999999999991</v>
      </c>
    </row>
    <row r="199" spans="1:4" x14ac:dyDescent="0.2">
      <c r="A199">
        <v>-6.1</v>
      </c>
      <c r="B199">
        <v>2.5499999999999998</v>
      </c>
      <c r="D199">
        <f t="shared" si="22"/>
        <v>-15.554999999999998</v>
      </c>
    </row>
    <row r="200" spans="1:4" x14ac:dyDescent="0.2">
      <c r="A200">
        <v>-7.5</v>
      </c>
      <c r="B200">
        <v>2.5499999999999998</v>
      </c>
      <c r="D200">
        <f t="shared" si="22"/>
        <v>-19.125</v>
      </c>
    </row>
    <row r="202" spans="1:4" x14ac:dyDescent="0.2">
      <c r="A202" t="s">
        <v>251</v>
      </c>
    </row>
    <row r="203" spans="1:4" x14ac:dyDescent="0.2">
      <c r="A203">
        <v>4.88</v>
      </c>
      <c r="B203">
        <v>2.8</v>
      </c>
      <c r="C203">
        <v>2</v>
      </c>
      <c r="D203">
        <f t="shared" ref="D203:D208" si="26">(A203*B203)*C203</f>
        <v>27.327999999999999</v>
      </c>
    </row>
    <row r="204" spans="1:4" x14ac:dyDescent="0.2">
      <c r="A204">
        <v>4.5999999999999996</v>
      </c>
      <c r="B204">
        <v>2.8</v>
      </c>
      <c r="C204">
        <v>2</v>
      </c>
      <c r="D204">
        <f t="shared" si="26"/>
        <v>25.759999999999998</v>
      </c>
    </row>
    <row r="205" spans="1:4" x14ac:dyDescent="0.2">
      <c r="A205">
        <v>4.82</v>
      </c>
      <c r="B205">
        <v>2.8</v>
      </c>
      <c r="C205">
        <v>2</v>
      </c>
      <c r="D205">
        <f t="shared" si="26"/>
        <v>26.992000000000001</v>
      </c>
    </row>
    <row r="206" spans="1:4" x14ac:dyDescent="0.2">
      <c r="A206">
        <v>-0.7</v>
      </c>
      <c r="B206">
        <v>2.5499999999999998</v>
      </c>
      <c r="C206">
        <v>2</v>
      </c>
      <c r="D206">
        <f t="shared" ref="D206:D220" si="27">A206*B206</f>
        <v>-1.7849999999999997</v>
      </c>
    </row>
    <row r="207" spans="1:4" x14ac:dyDescent="0.2">
      <c r="A207">
        <v>4.71</v>
      </c>
      <c r="B207">
        <v>2.8</v>
      </c>
      <c r="C207">
        <v>2</v>
      </c>
      <c r="D207">
        <f t="shared" si="26"/>
        <v>26.375999999999998</v>
      </c>
    </row>
    <row r="208" spans="1:4" x14ac:dyDescent="0.2">
      <c r="A208">
        <v>4.68</v>
      </c>
      <c r="B208">
        <v>2.8</v>
      </c>
      <c r="C208">
        <v>2</v>
      </c>
      <c r="D208">
        <f t="shared" si="26"/>
        <v>26.207999999999998</v>
      </c>
    </row>
    <row r="209" spans="1:4" x14ac:dyDescent="0.2">
      <c r="A209">
        <v>-0.7</v>
      </c>
      <c r="B209">
        <v>2.5499999999999998</v>
      </c>
      <c r="D209">
        <f t="shared" si="27"/>
        <v>-1.7849999999999997</v>
      </c>
    </row>
    <row r="210" spans="1:4" x14ac:dyDescent="0.2">
      <c r="A210">
        <v>4.2</v>
      </c>
      <c r="B210">
        <v>2.8</v>
      </c>
      <c r="D210">
        <f t="shared" si="27"/>
        <v>11.76</v>
      </c>
    </row>
    <row r="211" spans="1:4" x14ac:dyDescent="0.2">
      <c r="A211">
        <v>4.57</v>
      </c>
      <c r="B211">
        <v>2.8</v>
      </c>
      <c r="C211">
        <v>2</v>
      </c>
      <c r="D211">
        <f t="shared" ref="D211:D213" si="28">(A211*B211)*C211</f>
        <v>25.591999999999999</v>
      </c>
    </row>
    <row r="212" spans="1:4" x14ac:dyDescent="0.2">
      <c r="A212">
        <v>4.4000000000000004</v>
      </c>
      <c r="B212">
        <v>2.8</v>
      </c>
      <c r="C212">
        <v>2</v>
      </c>
      <c r="D212">
        <f t="shared" si="28"/>
        <v>24.64</v>
      </c>
    </row>
    <row r="213" spans="1:4" x14ac:dyDescent="0.2">
      <c r="A213">
        <v>4.2</v>
      </c>
      <c r="B213">
        <v>2.8</v>
      </c>
      <c r="C213">
        <v>2</v>
      </c>
      <c r="D213">
        <f t="shared" si="28"/>
        <v>23.52</v>
      </c>
    </row>
    <row r="214" spans="1:4" x14ac:dyDescent="0.2">
      <c r="A214">
        <v>-0.9</v>
      </c>
      <c r="B214">
        <v>2.5499999999999998</v>
      </c>
      <c r="D214">
        <f t="shared" si="27"/>
        <v>-2.2949999999999999</v>
      </c>
    </row>
    <row r="215" spans="1:4" x14ac:dyDescent="0.2">
      <c r="A215">
        <v>-0.7</v>
      </c>
      <c r="B215">
        <v>2.5499999999999998</v>
      </c>
      <c r="D215">
        <f t="shared" si="27"/>
        <v>-1.7849999999999997</v>
      </c>
    </row>
    <row r="216" spans="1:4" x14ac:dyDescent="0.2">
      <c r="A216">
        <v>0.62</v>
      </c>
      <c r="B216">
        <v>2.8</v>
      </c>
      <c r="C216">
        <v>4</v>
      </c>
      <c r="D216">
        <f t="shared" ref="D216:D219" si="29">(A216*B216)*C216</f>
        <v>6.944</v>
      </c>
    </row>
    <row r="217" spans="1:4" x14ac:dyDescent="0.2">
      <c r="A217">
        <v>3.11</v>
      </c>
      <c r="B217">
        <v>2.8</v>
      </c>
      <c r="C217">
        <v>2</v>
      </c>
      <c r="D217">
        <f t="shared" si="29"/>
        <v>17.415999999999997</v>
      </c>
    </row>
    <row r="218" spans="1:4" x14ac:dyDescent="0.2">
      <c r="A218">
        <v>-0.7</v>
      </c>
      <c r="B218">
        <v>2.5499999999999998</v>
      </c>
      <c r="D218">
        <f t="shared" si="27"/>
        <v>-1.7849999999999997</v>
      </c>
    </row>
    <row r="219" spans="1:4" x14ac:dyDescent="0.2">
      <c r="A219">
        <v>5.4</v>
      </c>
      <c r="B219">
        <v>2.8</v>
      </c>
      <c r="C219">
        <v>2</v>
      </c>
      <c r="D219">
        <f t="shared" si="29"/>
        <v>30.24</v>
      </c>
    </row>
    <row r="220" spans="1:4" x14ac:dyDescent="0.2">
      <c r="A220">
        <v>-4.9800000000000004</v>
      </c>
      <c r="B220">
        <v>1.65</v>
      </c>
      <c r="D220">
        <f t="shared" si="27"/>
        <v>-8.2170000000000005</v>
      </c>
    </row>
    <row r="222" spans="1:4" x14ac:dyDescent="0.2">
      <c r="D222">
        <f>SUM(D103:D221)</f>
        <v>1466.3759999999995</v>
      </c>
    </row>
    <row r="223" spans="1:4" x14ac:dyDescent="0.2">
      <c r="C223" t="s">
        <v>267</v>
      </c>
      <c r="D223">
        <f>D222+G96</f>
        <v>3013.9669999999996</v>
      </c>
    </row>
    <row r="224" spans="1:4" x14ac:dyDescent="0.2">
      <c r="C224" t="s">
        <v>398</v>
      </c>
      <c r="D224">
        <f>'ENCHAPE CERAMICO'!D31</f>
        <v>387.01599999999996</v>
      </c>
    </row>
    <row r="225" spans="3:4" x14ac:dyDescent="0.2">
      <c r="C225" t="s">
        <v>265</v>
      </c>
      <c r="D225" s="7">
        <f>D223-D224</f>
        <v>2626.9509999999996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07054-29E4-4A57-B335-9C23C62443AC}">
  <sheetPr codeName="Hoja34"/>
  <dimension ref="A1:B2"/>
  <sheetViews>
    <sheetView workbookViewId="0">
      <selection activeCell="D578" sqref="D578"/>
    </sheetView>
  </sheetViews>
  <sheetFormatPr baseColWidth="10" defaultRowHeight="16" x14ac:dyDescent="0.2"/>
  <sheetData>
    <row r="1" spans="1:2" x14ac:dyDescent="0.2">
      <c r="A1" t="s">
        <v>228</v>
      </c>
      <c r="B1" t="s">
        <v>243</v>
      </c>
    </row>
    <row r="2" spans="1:2" x14ac:dyDescent="0.2">
      <c r="A2" t="s">
        <v>265</v>
      </c>
      <c r="B2">
        <f>'MEDIACAÑA '!C41</f>
        <v>55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35B2E-FAE2-4FA0-8174-F26D1E20EA17}">
  <sheetPr codeName="Hoja35"/>
  <dimension ref="A1:E42"/>
  <sheetViews>
    <sheetView topLeftCell="A31" workbookViewId="0">
      <selection activeCell="D578" sqref="D578"/>
    </sheetView>
  </sheetViews>
  <sheetFormatPr baseColWidth="10" defaultRowHeight="16" x14ac:dyDescent="0.2"/>
  <cols>
    <col min="1" max="1" width="31.33203125" bestFit="1" customWidth="1"/>
    <col min="2" max="2" width="11.1640625" bestFit="1" customWidth="1"/>
    <col min="3" max="4" width="11" style="5"/>
  </cols>
  <sheetData>
    <row r="1" spans="1:4" x14ac:dyDescent="0.2">
      <c r="A1" s="9"/>
      <c r="B1" s="9"/>
      <c r="C1" s="227" t="s">
        <v>263</v>
      </c>
      <c r="D1" s="227"/>
    </row>
    <row r="2" spans="1:4" x14ac:dyDescent="0.2">
      <c r="A2" s="9" t="s">
        <v>228</v>
      </c>
      <c r="B2" s="9" t="s">
        <v>396</v>
      </c>
      <c r="C2" s="4">
        <v>2.8</v>
      </c>
      <c r="D2" s="4">
        <v>0.9</v>
      </c>
    </row>
    <row r="3" spans="1:4" x14ac:dyDescent="0.2">
      <c r="A3" t="s">
        <v>365</v>
      </c>
      <c r="B3">
        <v>18.02</v>
      </c>
      <c r="C3" s="5">
        <v>4</v>
      </c>
      <c r="D3" s="5">
        <v>1</v>
      </c>
    </row>
    <row r="4" spans="1:4" x14ac:dyDescent="0.2">
      <c r="A4" t="s">
        <v>366</v>
      </c>
      <c r="B4" s="224">
        <v>18.97</v>
      </c>
      <c r="C4" s="224">
        <v>5</v>
      </c>
      <c r="D4" s="224">
        <v>1</v>
      </c>
    </row>
    <row r="5" spans="1:4" x14ac:dyDescent="0.2">
      <c r="A5" t="s">
        <v>299</v>
      </c>
      <c r="B5" s="224"/>
      <c r="C5" s="224"/>
      <c r="D5" s="224"/>
    </row>
    <row r="6" spans="1:4" x14ac:dyDescent="0.2">
      <c r="A6" t="s">
        <v>340</v>
      </c>
    </row>
    <row r="7" spans="1:4" x14ac:dyDescent="0.2">
      <c r="A7" t="s">
        <v>367</v>
      </c>
    </row>
    <row r="8" spans="1:4" x14ac:dyDescent="0.2">
      <c r="A8" t="s">
        <v>374</v>
      </c>
      <c r="B8">
        <v>14.33</v>
      </c>
      <c r="C8" s="5">
        <v>2</v>
      </c>
      <c r="D8" s="5">
        <v>1</v>
      </c>
    </row>
    <row r="9" spans="1:4" x14ac:dyDescent="0.2">
      <c r="A9" t="s">
        <v>299</v>
      </c>
    </row>
    <row r="10" spans="1:4" x14ac:dyDescent="0.2">
      <c r="A10" t="s">
        <v>367</v>
      </c>
      <c r="B10">
        <v>14.29</v>
      </c>
      <c r="C10" s="5">
        <v>2</v>
      </c>
      <c r="D10" s="5">
        <v>1</v>
      </c>
    </row>
    <row r="11" spans="1:4" x14ac:dyDescent="0.2">
      <c r="A11" t="s">
        <v>369</v>
      </c>
    </row>
    <row r="12" spans="1:4" x14ac:dyDescent="0.2">
      <c r="A12" t="s">
        <v>343</v>
      </c>
    </row>
    <row r="13" spans="1:4" x14ac:dyDescent="0.2">
      <c r="A13" t="s">
        <v>344</v>
      </c>
    </row>
    <row r="14" spans="1:4" x14ac:dyDescent="0.2">
      <c r="A14" t="s">
        <v>370</v>
      </c>
    </row>
    <row r="15" spans="1:4" x14ac:dyDescent="0.2">
      <c r="A15" t="s">
        <v>371</v>
      </c>
    </row>
    <row r="16" spans="1:4" x14ac:dyDescent="0.2">
      <c r="A16" t="s">
        <v>363</v>
      </c>
    </row>
    <row r="17" spans="1:3" x14ac:dyDescent="0.2">
      <c r="A17" t="s">
        <v>372</v>
      </c>
    </row>
    <row r="18" spans="1:3" x14ac:dyDescent="0.2">
      <c r="A18" t="s">
        <v>346</v>
      </c>
    </row>
    <row r="19" spans="1:3" x14ac:dyDescent="0.2">
      <c r="A19" t="s">
        <v>373</v>
      </c>
      <c r="B19">
        <v>9.48</v>
      </c>
      <c r="C19" s="5">
        <v>3</v>
      </c>
    </row>
    <row r="20" spans="1:3" x14ac:dyDescent="0.2">
      <c r="A20" t="s">
        <v>368</v>
      </c>
      <c r="B20">
        <v>18.309999999999999</v>
      </c>
      <c r="C20" s="5">
        <v>4</v>
      </c>
    </row>
    <row r="21" spans="1:3" x14ac:dyDescent="0.2">
      <c r="A21" t="s">
        <v>375</v>
      </c>
      <c r="B21">
        <v>18.82</v>
      </c>
      <c r="C21" s="5">
        <v>6</v>
      </c>
    </row>
    <row r="22" spans="1:3" x14ac:dyDescent="0.2">
      <c r="A22" t="s">
        <v>347</v>
      </c>
    </row>
    <row r="23" spans="1:3" x14ac:dyDescent="0.2">
      <c r="A23" t="s">
        <v>351</v>
      </c>
      <c r="B23">
        <v>6.97</v>
      </c>
      <c r="C23" s="5">
        <v>4</v>
      </c>
    </row>
    <row r="24" spans="1:3" x14ac:dyDescent="0.2">
      <c r="A24" t="s">
        <v>348</v>
      </c>
    </row>
    <row r="25" spans="1:3" x14ac:dyDescent="0.2">
      <c r="A25" t="s">
        <v>376</v>
      </c>
      <c r="B25">
        <v>18.82</v>
      </c>
      <c r="C25" s="5">
        <v>6</v>
      </c>
    </row>
    <row r="26" spans="1:3" x14ac:dyDescent="0.2">
      <c r="A26" t="s">
        <v>377</v>
      </c>
    </row>
    <row r="27" spans="1:3" x14ac:dyDescent="0.2">
      <c r="A27" t="s">
        <v>368</v>
      </c>
      <c r="B27">
        <v>21.51</v>
      </c>
      <c r="C27" s="5">
        <v>4</v>
      </c>
    </row>
    <row r="28" spans="1:3" x14ac:dyDescent="0.2">
      <c r="A28" t="s">
        <v>373</v>
      </c>
      <c r="B28">
        <v>9.48</v>
      </c>
      <c r="C28" s="5">
        <v>3</v>
      </c>
    </row>
    <row r="29" spans="1:3" x14ac:dyDescent="0.2">
      <c r="A29" t="s">
        <v>346</v>
      </c>
    </row>
    <row r="30" spans="1:3" x14ac:dyDescent="0.2">
      <c r="A30" t="s">
        <v>370</v>
      </c>
    </row>
    <row r="31" spans="1:3" x14ac:dyDescent="0.2">
      <c r="A31" t="s">
        <v>378</v>
      </c>
    </row>
    <row r="32" spans="1:3" x14ac:dyDescent="0.2">
      <c r="A32" t="s">
        <v>379</v>
      </c>
      <c r="B32">
        <v>13.72</v>
      </c>
      <c r="C32" s="5">
        <v>3</v>
      </c>
    </row>
    <row r="33" spans="1:5" x14ac:dyDescent="0.2">
      <c r="A33" t="s">
        <v>380</v>
      </c>
      <c r="B33">
        <v>13.72</v>
      </c>
      <c r="C33" s="5">
        <v>3</v>
      </c>
    </row>
    <row r="34" spans="1:5" x14ac:dyDescent="0.2">
      <c r="A34" t="s">
        <v>381</v>
      </c>
      <c r="B34">
        <v>13.72</v>
      </c>
      <c r="C34" s="5">
        <v>3</v>
      </c>
    </row>
    <row r="35" spans="1:5" x14ac:dyDescent="0.2">
      <c r="A35" t="s">
        <v>381</v>
      </c>
      <c r="B35">
        <v>13.72</v>
      </c>
      <c r="C35" s="5">
        <v>3</v>
      </c>
    </row>
    <row r="36" spans="1:5" x14ac:dyDescent="0.2">
      <c r="A36" t="s">
        <v>363</v>
      </c>
    </row>
    <row r="37" spans="1:5" x14ac:dyDescent="0.2">
      <c r="A37" t="s">
        <v>363</v>
      </c>
    </row>
    <row r="38" spans="1:5" x14ac:dyDescent="0.2">
      <c r="A38" t="s">
        <v>378</v>
      </c>
    </row>
    <row r="39" spans="1:5" x14ac:dyDescent="0.2">
      <c r="A39" t="s">
        <v>382</v>
      </c>
      <c r="B39">
        <v>17.47</v>
      </c>
    </row>
    <row r="40" spans="1:5" x14ac:dyDescent="0.2">
      <c r="A40" t="s">
        <v>383</v>
      </c>
    </row>
    <row r="41" spans="1:5" x14ac:dyDescent="0.2">
      <c r="C41" s="5">
        <f>SUM(C3:C40)</f>
        <v>55</v>
      </c>
      <c r="D41" s="5">
        <f>SUM(D3:D40)</f>
        <v>4</v>
      </c>
    </row>
    <row r="42" spans="1:5" x14ac:dyDescent="0.2">
      <c r="A42" t="s">
        <v>267</v>
      </c>
      <c r="B42">
        <f>SUM(B3:B39)</f>
        <v>241.34999999999997</v>
      </c>
      <c r="C42" s="5">
        <f>C41*C2</f>
        <v>154</v>
      </c>
      <c r="D42" s="5">
        <f>D41*D2</f>
        <v>3.6</v>
      </c>
      <c r="E42" s="7">
        <f>SUM(B42:D42)</f>
        <v>398.95</v>
      </c>
    </row>
  </sheetData>
  <mergeCells count="4">
    <mergeCell ref="B4:B5"/>
    <mergeCell ref="C1:D1"/>
    <mergeCell ref="C4:C5"/>
    <mergeCell ref="D4:D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531A3-FADE-4975-842D-BD1EE1E1A70B}">
  <dimension ref="A2:F1048576"/>
  <sheetViews>
    <sheetView workbookViewId="0">
      <selection activeCell="B8" sqref="B8"/>
    </sheetView>
  </sheetViews>
  <sheetFormatPr baseColWidth="10" defaultRowHeight="16" x14ac:dyDescent="0.2"/>
  <cols>
    <col min="1" max="1" width="34.5" bestFit="1" customWidth="1"/>
    <col min="3" max="3" width="11" style="32"/>
    <col min="4" max="5" width="11" style="33"/>
    <col min="6" max="6" width="12.1640625" style="32" bestFit="1" customWidth="1"/>
  </cols>
  <sheetData>
    <row r="2" spans="1:6" x14ac:dyDescent="0.2">
      <c r="A2" t="s">
        <v>799</v>
      </c>
      <c r="B2">
        <v>2</v>
      </c>
      <c r="C2" s="32">
        <f>(3200000)*1.19</f>
        <v>3808000</v>
      </c>
      <c r="F2" s="32">
        <f>B2*C2</f>
        <v>7616000</v>
      </c>
    </row>
    <row r="3" spans="1:6" x14ac:dyDescent="0.2">
      <c r="A3" t="s">
        <v>800</v>
      </c>
      <c r="B3" t="s">
        <v>8</v>
      </c>
      <c r="C3" s="32">
        <v>191660</v>
      </c>
      <c r="D3" s="33">
        <v>3.7</v>
      </c>
      <c r="E3" s="33">
        <v>5</v>
      </c>
      <c r="F3" s="32">
        <f>((D3*E3)*C3)*1.1312</f>
        <v>4010907.1519999998</v>
      </c>
    </row>
    <row r="4" spans="1:6" x14ac:dyDescent="0.2">
      <c r="E4" s="33" t="s">
        <v>265</v>
      </c>
      <c r="F4" s="32">
        <f>SUM(F2:F3)</f>
        <v>11626907.151999999</v>
      </c>
    </row>
    <row r="1048576" spans="3:6" x14ac:dyDescent="0.2">
      <c r="C1048576" s="32">
        <f>SUM(C2:C1048575)</f>
        <v>3999660</v>
      </c>
      <c r="F1048576" s="32">
        <f>SUM(F2:F1048575)</f>
        <v>23253814.303999998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4C6E1-10B7-423B-8298-58DF548D9874}">
  <sheetPr codeName="Hoja36"/>
  <dimension ref="A2:B68"/>
  <sheetViews>
    <sheetView topLeftCell="A40" workbookViewId="0">
      <selection activeCell="D578" sqref="D578"/>
    </sheetView>
  </sheetViews>
  <sheetFormatPr baseColWidth="10" defaultRowHeight="16" x14ac:dyDescent="0.2"/>
  <cols>
    <col min="1" max="1" width="31.33203125" bestFit="1" customWidth="1"/>
  </cols>
  <sheetData>
    <row r="2" spans="1:2" x14ac:dyDescent="0.2">
      <c r="A2" t="s">
        <v>225</v>
      </c>
    </row>
    <row r="3" spans="1:2" x14ac:dyDescent="0.2">
      <c r="A3" t="s">
        <v>363</v>
      </c>
      <c r="B3">
        <v>2.64</v>
      </c>
    </row>
    <row r="5" spans="1:2" x14ac:dyDescent="0.2">
      <c r="A5" t="s">
        <v>228</v>
      </c>
    </row>
    <row r="6" spans="1:2" x14ac:dyDescent="0.2">
      <c r="A6" t="s">
        <v>364</v>
      </c>
      <c r="B6">
        <f>3.09+69.77+13.11+1.04+1.039</f>
        <v>88.049000000000007</v>
      </c>
    </row>
    <row r="7" spans="1:2" x14ac:dyDescent="0.2">
      <c r="A7" t="s">
        <v>365</v>
      </c>
      <c r="B7">
        <v>16.510000000000002</v>
      </c>
    </row>
    <row r="8" spans="1:2" x14ac:dyDescent="0.2">
      <c r="A8" t="s">
        <v>366</v>
      </c>
      <c r="B8">
        <v>12.46</v>
      </c>
    </row>
    <row r="9" spans="1:2" x14ac:dyDescent="0.2">
      <c r="A9" t="s">
        <v>299</v>
      </c>
      <c r="B9">
        <v>1.66</v>
      </c>
    </row>
    <row r="10" spans="1:2" x14ac:dyDescent="0.2">
      <c r="A10" t="s">
        <v>340</v>
      </c>
      <c r="B10">
        <v>1.68</v>
      </c>
    </row>
    <row r="11" spans="1:2" x14ac:dyDescent="0.2">
      <c r="A11" t="s">
        <v>367</v>
      </c>
      <c r="B11">
        <v>1.82</v>
      </c>
    </row>
    <row r="12" spans="1:2" x14ac:dyDescent="0.2">
      <c r="A12" t="s">
        <v>374</v>
      </c>
      <c r="B12">
        <v>12.82</v>
      </c>
    </row>
    <row r="13" spans="1:2" x14ac:dyDescent="0.2">
      <c r="A13" t="s">
        <v>299</v>
      </c>
      <c r="B13">
        <v>1.68</v>
      </c>
    </row>
    <row r="14" spans="1:2" x14ac:dyDescent="0.2">
      <c r="A14" t="s">
        <v>367</v>
      </c>
      <c r="B14">
        <v>1.82</v>
      </c>
    </row>
    <row r="15" spans="1:2" x14ac:dyDescent="0.2">
      <c r="A15" t="s">
        <v>369</v>
      </c>
      <c r="B15">
        <v>11.887</v>
      </c>
    </row>
    <row r="16" spans="1:2" x14ac:dyDescent="0.2">
      <c r="A16" t="s">
        <v>343</v>
      </c>
      <c r="B16">
        <v>9.11</v>
      </c>
    </row>
    <row r="17" spans="1:2" x14ac:dyDescent="0.2">
      <c r="A17" t="s">
        <v>344</v>
      </c>
      <c r="B17">
        <v>9.09</v>
      </c>
    </row>
    <row r="18" spans="1:2" x14ac:dyDescent="0.2">
      <c r="A18" t="s">
        <v>370</v>
      </c>
      <c r="B18">
        <v>1.36</v>
      </c>
    </row>
    <row r="19" spans="1:2" x14ac:dyDescent="0.2">
      <c r="A19" t="s">
        <v>371</v>
      </c>
      <c r="B19">
        <v>9.2100000000000009</v>
      </c>
    </row>
    <row r="20" spans="1:2" x14ac:dyDescent="0.2">
      <c r="A20" t="s">
        <v>363</v>
      </c>
      <c r="B20">
        <v>1.73</v>
      </c>
    </row>
    <row r="21" spans="1:2" x14ac:dyDescent="0.2">
      <c r="A21" t="s">
        <v>372</v>
      </c>
      <c r="B21">
        <v>9.3000000000000007</v>
      </c>
    </row>
    <row r="22" spans="1:2" x14ac:dyDescent="0.2">
      <c r="A22" t="s">
        <v>346</v>
      </c>
      <c r="B22">
        <v>8.3800000000000008</v>
      </c>
    </row>
    <row r="23" spans="1:2" x14ac:dyDescent="0.2">
      <c r="A23" t="s">
        <v>373</v>
      </c>
      <c r="B23">
        <v>5.17</v>
      </c>
    </row>
    <row r="24" spans="1:2" x14ac:dyDescent="0.2">
      <c r="A24" t="s">
        <v>368</v>
      </c>
      <c r="B24">
        <v>17.62</v>
      </c>
    </row>
    <row r="25" spans="1:2" x14ac:dyDescent="0.2">
      <c r="A25" t="s">
        <v>375</v>
      </c>
      <c r="B25">
        <v>21.44</v>
      </c>
    </row>
    <row r="26" spans="1:2" x14ac:dyDescent="0.2">
      <c r="A26" t="s">
        <v>347</v>
      </c>
      <c r="B26">
        <v>2.66</v>
      </c>
    </row>
    <row r="27" spans="1:2" x14ac:dyDescent="0.2">
      <c r="A27" t="s">
        <v>351</v>
      </c>
      <c r="B27">
        <v>2.42</v>
      </c>
    </row>
    <row r="28" spans="1:2" x14ac:dyDescent="0.2">
      <c r="A28" t="s">
        <v>348</v>
      </c>
      <c r="B28">
        <v>2.65</v>
      </c>
    </row>
    <row r="29" spans="1:2" x14ac:dyDescent="0.2">
      <c r="A29" t="s">
        <v>376</v>
      </c>
      <c r="B29">
        <v>20.91</v>
      </c>
    </row>
    <row r="30" spans="1:2" x14ac:dyDescent="0.2">
      <c r="A30" t="s">
        <v>377</v>
      </c>
      <c r="B30">
        <v>3.88</v>
      </c>
    </row>
    <row r="31" spans="1:2" x14ac:dyDescent="0.2">
      <c r="A31" t="s">
        <v>368</v>
      </c>
      <c r="B31">
        <v>19.84</v>
      </c>
    </row>
    <row r="32" spans="1:2" x14ac:dyDescent="0.2">
      <c r="A32" t="s">
        <v>373</v>
      </c>
      <c r="B32">
        <v>5.17</v>
      </c>
    </row>
    <row r="33" spans="1:2" x14ac:dyDescent="0.2">
      <c r="A33" t="s">
        <v>346</v>
      </c>
      <c r="B33">
        <v>8.3800000000000008</v>
      </c>
    </row>
    <row r="34" spans="1:2" x14ac:dyDescent="0.2">
      <c r="A34" t="s">
        <v>370</v>
      </c>
      <c r="B34">
        <v>5.26</v>
      </c>
    </row>
    <row r="35" spans="1:2" x14ac:dyDescent="0.2">
      <c r="A35" t="s">
        <v>378</v>
      </c>
      <c r="B35">
        <v>31</v>
      </c>
    </row>
    <row r="36" spans="1:2" x14ac:dyDescent="0.2">
      <c r="A36" t="s">
        <v>379</v>
      </c>
      <c r="B36">
        <v>11.5</v>
      </c>
    </row>
    <row r="37" spans="1:2" x14ac:dyDescent="0.2">
      <c r="A37" t="s">
        <v>380</v>
      </c>
      <c r="B37">
        <v>11.43</v>
      </c>
    </row>
    <row r="38" spans="1:2" x14ac:dyDescent="0.2">
      <c r="A38" t="s">
        <v>381</v>
      </c>
      <c r="B38">
        <v>11.31</v>
      </c>
    </row>
    <row r="39" spans="1:2" x14ac:dyDescent="0.2">
      <c r="A39" t="s">
        <v>381</v>
      </c>
      <c r="B39">
        <v>11.31</v>
      </c>
    </row>
    <row r="40" spans="1:2" x14ac:dyDescent="0.2">
      <c r="A40" t="s">
        <v>363</v>
      </c>
      <c r="B40">
        <v>2.71</v>
      </c>
    </row>
    <row r="41" spans="1:2" x14ac:dyDescent="0.2">
      <c r="A41" t="s">
        <v>363</v>
      </c>
      <c r="B41">
        <v>2.79</v>
      </c>
    </row>
    <row r="42" spans="1:2" x14ac:dyDescent="0.2">
      <c r="A42" t="s">
        <v>378</v>
      </c>
      <c r="B42">
        <v>15</v>
      </c>
    </row>
    <row r="43" spans="1:2" x14ac:dyDescent="0.2">
      <c r="A43" t="s">
        <v>382</v>
      </c>
      <c r="B43">
        <v>16.52</v>
      </c>
    </row>
    <row r="44" spans="1:2" x14ac:dyDescent="0.2">
      <c r="A44" t="s">
        <v>383</v>
      </c>
      <c r="B44">
        <v>24.66</v>
      </c>
    </row>
    <row r="46" spans="1:2" x14ac:dyDescent="0.2">
      <c r="A46" t="s">
        <v>236</v>
      </c>
    </row>
    <row r="47" spans="1:2" x14ac:dyDescent="0.2">
      <c r="A47" t="s">
        <v>363</v>
      </c>
      <c r="B47">
        <v>3.13</v>
      </c>
    </row>
    <row r="48" spans="1:2" x14ac:dyDescent="0.2">
      <c r="A48" t="s">
        <v>384</v>
      </c>
      <c r="B48">
        <v>15.1</v>
      </c>
    </row>
    <row r="49" spans="1:2" x14ac:dyDescent="0.2">
      <c r="A49" t="s">
        <v>385</v>
      </c>
      <c r="B49">
        <v>13.71</v>
      </c>
    </row>
    <row r="50" spans="1:2" x14ac:dyDescent="0.2">
      <c r="A50" t="s">
        <v>299</v>
      </c>
      <c r="B50">
        <v>1.66</v>
      </c>
    </row>
    <row r="51" spans="1:2" x14ac:dyDescent="0.2">
      <c r="A51" t="s">
        <v>386</v>
      </c>
      <c r="B51">
        <v>1.68</v>
      </c>
    </row>
    <row r="52" spans="1:2" x14ac:dyDescent="0.2">
      <c r="A52" t="s">
        <v>351</v>
      </c>
      <c r="B52">
        <v>1.82</v>
      </c>
    </row>
    <row r="53" spans="1:2" x14ac:dyDescent="0.2">
      <c r="A53" t="s">
        <v>387</v>
      </c>
      <c r="B53">
        <v>12.82</v>
      </c>
    </row>
    <row r="54" spans="1:2" x14ac:dyDescent="0.2">
      <c r="A54" t="s">
        <v>388</v>
      </c>
      <c r="B54">
        <v>3.65</v>
      </c>
    </row>
    <row r="55" spans="1:2" x14ac:dyDescent="0.2">
      <c r="A55" t="s">
        <v>389</v>
      </c>
      <c r="B55">
        <v>1.7</v>
      </c>
    </row>
    <row r="56" spans="1:2" x14ac:dyDescent="0.2">
      <c r="A56" t="s">
        <v>390</v>
      </c>
      <c r="B56">
        <v>11.87</v>
      </c>
    </row>
    <row r="57" spans="1:2" x14ac:dyDescent="0.2">
      <c r="A57" t="s">
        <v>343</v>
      </c>
      <c r="B57">
        <v>9.11</v>
      </c>
    </row>
    <row r="58" spans="1:2" x14ac:dyDescent="0.2">
      <c r="A58" t="s">
        <v>344</v>
      </c>
      <c r="B58">
        <v>9.09</v>
      </c>
    </row>
    <row r="59" spans="1:2" x14ac:dyDescent="0.2">
      <c r="A59" t="s">
        <v>391</v>
      </c>
      <c r="B59">
        <v>14.37</v>
      </c>
    </row>
    <row r="60" spans="1:2" x14ac:dyDescent="0.2">
      <c r="A60" t="s">
        <v>392</v>
      </c>
      <c r="B60">
        <v>1.74</v>
      </c>
    </row>
    <row r="61" spans="1:2" x14ac:dyDescent="0.2">
      <c r="A61" t="s">
        <v>370</v>
      </c>
      <c r="B61">
        <v>1.39</v>
      </c>
    </row>
    <row r="62" spans="1:2" x14ac:dyDescent="0.2">
      <c r="A62" t="s">
        <v>393</v>
      </c>
      <c r="B62">
        <v>9.3000000000000007</v>
      </c>
    </row>
    <row r="63" spans="1:2" x14ac:dyDescent="0.2">
      <c r="A63" t="s">
        <v>364</v>
      </c>
      <c r="B63">
        <f>63.28+1.36</f>
        <v>64.64</v>
      </c>
    </row>
    <row r="64" spans="1:2" x14ac:dyDescent="0.2">
      <c r="A64" t="s">
        <v>378</v>
      </c>
      <c r="B64">
        <v>34.14</v>
      </c>
    </row>
    <row r="65" spans="1:2" x14ac:dyDescent="0.2">
      <c r="A65" t="s">
        <v>394</v>
      </c>
      <c r="B65">
        <v>85.91</v>
      </c>
    </row>
    <row r="66" spans="1:2" x14ac:dyDescent="0.2">
      <c r="A66" t="s">
        <v>395</v>
      </c>
      <c r="B66">
        <v>24.66</v>
      </c>
    </row>
    <row r="68" spans="1:2" x14ac:dyDescent="0.2">
      <c r="A68" t="s">
        <v>265</v>
      </c>
      <c r="B68" s="7">
        <f>SUM(B3:B67)</f>
        <v>776.32599999999991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5526B-58B6-4C81-887A-DFDB134BDAA4}">
  <sheetPr codeName="Hoja37"/>
  <dimension ref="A1:C2"/>
  <sheetViews>
    <sheetView workbookViewId="0">
      <selection activeCell="D578" sqref="D578"/>
    </sheetView>
  </sheetViews>
  <sheetFormatPr baseColWidth="10" defaultRowHeight="16" x14ac:dyDescent="0.2"/>
  <cols>
    <col min="2" max="2" width="29" bestFit="1" customWidth="1"/>
  </cols>
  <sheetData>
    <row r="1" spans="1:3" x14ac:dyDescent="0.2">
      <c r="C1" t="s">
        <v>262</v>
      </c>
    </row>
    <row r="2" spans="1:3" x14ac:dyDescent="0.2">
      <c r="A2" t="s">
        <v>361</v>
      </c>
      <c r="B2" t="s">
        <v>362</v>
      </c>
      <c r="C2" s="7">
        <v>6.71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2F453-8921-4FD7-857E-A2E81D3FCC59}">
  <sheetPr codeName="Hoja38"/>
  <dimension ref="A1:B13"/>
  <sheetViews>
    <sheetView workbookViewId="0">
      <selection activeCell="D578" sqref="D578"/>
    </sheetView>
  </sheetViews>
  <sheetFormatPr baseColWidth="10" defaultRowHeight="16" x14ac:dyDescent="0.2"/>
  <cols>
    <col min="1" max="1" width="30" bestFit="1" customWidth="1"/>
  </cols>
  <sheetData>
    <row r="1" spans="1:2" x14ac:dyDescent="0.2">
      <c r="A1" t="s">
        <v>228</v>
      </c>
      <c r="B1" t="s">
        <v>262</v>
      </c>
    </row>
    <row r="2" spans="1:2" x14ac:dyDescent="0.2">
      <c r="A2" t="s">
        <v>351</v>
      </c>
      <c r="B2">
        <v>1.52</v>
      </c>
    </row>
    <row r="3" spans="1:2" x14ac:dyDescent="0.2">
      <c r="A3" t="s">
        <v>344</v>
      </c>
      <c r="B3">
        <v>1.6</v>
      </c>
    </row>
    <row r="4" spans="1:2" x14ac:dyDescent="0.2">
      <c r="A4" t="s">
        <v>343</v>
      </c>
      <c r="B4">
        <v>1.6</v>
      </c>
    </row>
    <row r="5" spans="1:2" x14ac:dyDescent="0.2">
      <c r="A5" t="s">
        <v>356</v>
      </c>
      <c r="B5">
        <v>1.38</v>
      </c>
    </row>
    <row r="7" spans="1:2" x14ac:dyDescent="0.2">
      <c r="A7" t="s">
        <v>236</v>
      </c>
    </row>
    <row r="8" spans="1:2" x14ac:dyDescent="0.2">
      <c r="A8" t="s">
        <v>357</v>
      </c>
      <c r="B8">
        <v>2.3199999999999998</v>
      </c>
    </row>
    <row r="9" spans="1:2" x14ac:dyDescent="0.2">
      <c r="A9" t="s">
        <v>351</v>
      </c>
      <c r="B9">
        <v>1.2</v>
      </c>
    </row>
    <row r="10" spans="1:2" x14ac:dyDescent="0.2">
      <c r="A10" t="s">
        <v>344</v>
      </c>
      <c r="B10">
        <v>1.6</v>
      </c>
    </row>
    <row r="11" spans="1:2" x14ac:dyDescent="0.2">
      <c r="A11" t="s">
        <v>343</v>
      </c>
      <c r="B11">
        <v>1.6</v>
      </c>
    </row>
    <row r="13" spans="1:2" x14ac:dyDescent="0.2">
      <c r="A13" t="s">
        <v>265</v>
      </c>
      <c r="B13" s="7">
        <f>SUM(B2:B11)</f>
        <v>12.819999999999999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EF2A7-FA3D-4AA2-BC0E-3FB83A67669C}">
  <sheetPr codeName="Hoja39"/>
  <dimension ref="A1:D31"/>
  <sheetViews>
    <sheetView workbookViewId="0">
      <selection activeCell="D578" sqref="D578"/>
    </sheetView>
  </sheetViews>
  <sheetFormatPr baseColWidth="10" defaultRowHeight="16" x14ac:dyDescent="0.2"/>
  <cols>
    <col min="1" max="1" width="31.6640625" customWidth="1"/>
    <col min="2" max="2" width="6.5" bestFit="1" customWidth="1"/>
    <col min="3" max="3" width="7.33203125" bestFit="1" customWidth="1"/>
    <col min="4" max="4" width="9.5" bestFit="1" customWidth="1"/>
  </cols>
  <sheetData>
    <row r="1" spans="1:4" x14ac:dyDescent="0.2">
      <c r="A1" t="s">
        <v>225</v>
      </c>
      <c r="B1" t="s">
        <v>262</v>
      </c>
      <c r="C1" t="s">
        <v>263</v>
      </c>
      <c r="D1" t="s">
        <v>267</v>
      </c>
    </row>
    <row r="2" spans="1:4" x14ac:dyDescent="0.2">
      <c r="A2" t="s">
        <v>338</v>
      </c>
      <c r="B2">
        <v>6.13</v>
      </c>
      <c r="C2">
        <v>2.8</v>
      </c>
      <c r="D2">
        <f>B2*C2</f>
        <v>17.163999999999998</v>
      </c>
    </row>
    <row r="4" spans="1:4" x14ac:dyDescent="0.2">
      <c r="A4" t="s">
        <v>228</v>
      </c>
    </row>
    <row r="5" spans="1:4" x14ac:dyDescent="0.2">
      <c r="A5" t="s">
        <v>339</v>
      </c>
      <c r="B5">
        <v>3.62</v>
      </c>
      <c r="C5">
        <v>2.8</v>
      </c>
      <c r="D5">
        <f t="shared" ref="D5:D19" si="0">B5*C5</f>
        <v>10.135999999999999</v>
      </c>
    </row>
    <row r="6" spans="1:4" x14ac:dyDescent="0.2">
      <c r="A6" t="s">
        <v>339</v>
      </c>
      <c r="B6">
        <v>2.27</v>
      </c>
      <c r="C6">
        <v>2.8</v>
      </c>
      <c r="D6">
        <f t="shared" si="0"/>
        <v>6.3559999999999999</v>
      </c>
    </row>
    <row r="7" spans="1:4" x14ac:dyDescent="0.2">
      <c r="A7" t="s">
        <v>340</v>
      </c>
      <c r="B7">
        <v>4.53</v>
      </c>
      <c r="C7">
        <v>2.8</v>
      </c>
      <c r="D7">
        <f t="shared" si="0"/>
        <v>12.683999999999999</v>
      </c>
    </row>
    <row r="8" spans="1:4" x14ac:dyDescent="0.2">
      <c r="A8" t="s">
        <v>341</v>
      </c>
      <c r="B8">
        <v>4.78</v>
      </c>
      <c r="C8">
        <v>2.8</v>
      </c>
      <c r="D8">
        <f t="shared" si="0"/>
        <v>13.384</v>
      </c>
    </row>
    <row r="9" spans="1:4" x14ac:dyDescent="0.2">
      <c r="A9" t="s">
        <v>342</v>
      </c>
      <c r="B9">
        <v>4.78</v>
      </c>
      <c r="C9">
        <v>2.8</v>
      </c>
      <c r="D9">
        <f t="shared" si="0"/>
        <v>13.384</v>
      </c>
    </row>
    <row r="10" spans="1:4" x14ac:dyDescent="0.2">
      <c r="A10" t="s">
        <v>343</v>
      </c>
      <c r="B10">
        <v>12.43</v>
      </c>
      <c r="C10">
        <v>2.8</v>
      </c>
      <c r="D10">
        <f t="shared" si="0"/>
        <v>34.803999999999995</v>
      </c>
    </row>
    <row r="11" spans="1:4" x14ac:dyDescent="0.2">
      <c r="A11" t="s">
        <v>344</v>
      </c>
      <c r="B11">
        <v>12.31</v>
      </c>
      <c r="C11">
        <v>2.8</v>
      </c>
      <c r="D11">
        <f t="shared" si="0"/>
        <v>34.467999999999996</v>
      </c>
    </row>
    <row r="12" spans="1:4" x14ac:dyDescent="0.2">
      <c r="A12" t="s">
        <v>345</v>
      </c>
      <c r="B12">
        <v>4.63</v>
      </c>
      <c r="C12">
        <v>2.8</v>
      </c>
      <c r="D12">
        <f t="shared" si="0"/>
        <v>12.963999999999999</v>
      </c>
    </row>
    <row r="13" spans="1:4" x14ac:dyDescent="0.2">
      <c r="A13" t="s">
        <v>346</v>
      </c>
      <c r="B13">
        <v>3.02</v>
      </c>
      <c r="C13">
        <v>2.8</v>
      </c>
      <c r="D13">
        <f t="shared" si="0"/>
        <v>8.4559999999999995</v>
      </c>
    </row>
    <row r="14" spans="1:4" x14ac:dyDescent="0.2">
      <c r="A14" t="s">
        <v>347</v>
      </c>
      <c r="B14">
        <v>5.82</v>
      </c>
      <c r="C14">
        <v>2.8</v>
      </c>
      <c r="D14">
        <f t="shared" si="0"/>
        <v>16.295999999999999</v>
      </c>
    </row>
    <row r="15" spans="1:4" x14ac:dyDescent="0.2">
      <c r="A15" t="s">
        <v>348</v>
      </c>
      <c r="B15">
        <v>5.82</v>
      </c>
      <c r="C15">
        <v>2.8</v>
      </c>
      <c r="D15">
        <f t="shared" si="0"/>
        <v>16.295999999999999</v>
      </c>
    </row>
    <row r="16" spans="1:4" x14ac:dyDescent="0.2">
      <c r="A16" t="s">
        <v>346</v>
      </c>
      <c r="B16">
        <v>3.02</v>
      </c>
      <c r="C16">
        <v>2.8</v>
      </c>
      <c r="D16">
        <f t="shared" si="0"/>
        <v>8.4559999999999995</v>
      </c>
    </row>
    <row r="17" spans="1:4" x14ac:dyDescent="0.2">
      <c r="A17" t="s">
        <v>349</v>
      </c>
      <c r="B17">
        <v>4.82</v>
      </c>
      <c r="C17">
        <v>2.8</v>
      </c>
      <c r="D17">
        <f t="shared" si="0"/>
        <v>13.496</v>
      </c>
    </row>
    <row r="18" spans="1:4" x14ac:dyDescent="0.2">
      <c r="A18" t="s">
        <v>350</v>
      </c>
      <c r="B18">
        <v>4.82</v>
      </c>
      <c r="C18">
        <v>2.8</v>
      </c>
      <c r="D18">
        <f t="shared" si="0"/>
        <v>13.496</v>
      </c>
    </row>
    <row r="19" spans="1:4" x14ac:dyDescent="0.2">
      <c r="A19" t="s">
        <v>351</v>
      </c>
      <c r="B19">
        <v>6.29</v>
      </c>
      <c r="C19">
        <v>2.8</v>
      </c>
      <c r="D19">
        <f t="shared" si="0"/>
        <v>17.611999999999998</v>
      </c>
    </row>
    <row r="21" spans="1:4" x14ac:dyDescent="0.2">
      <c r="A21" t="s">
        <v>236</v>
      </c>
    </row>
    <row r="22" spans="1:4" x14ac:dyDescent="0.2">
      <c r="A22" t="s">
        <v>339</v>
      </c>
      <c r="B22">
        <v>3.62</v>
      </c>
      <c r="C22">
        <v>2.8</v>
      </c>
      <c r="D22">
        <f t="shared" ref="D22:D29" si="1">B22*C22</f>
        <v>10.135999999999999</v>
      </c>
    </row>
    <row r="23" spans="1:4" x14ac:dyDescent="0.2">
      <c r="A23" t="s">
        <v>339</v>
      </c>
      <c r="B23">
        <v>2.27</v>
      </c>
      <c r="C23">
        <v>2.8</v>
      </c>
      <c r="D23">
        <f t="shared" si="1"/>
        <v>6.3559999999999999</v>
      </c>
    </row>
    <row r="24" spans="1:4" x14ac:dyDescent="0.2">
      <c r="A24" t="s">
        <v>351</v>
      </c>
      <c r="B24">
        <v>4.78</v>
      </c>
      <c r="C24">
        <v>2.8</v>
      </c>
      <c r="D24">
        <f t="shared" si="1"/>
        <v>13.384</v>
      </c>
    </row>
    <row r="25" spans="1:4" x14ac:dyDescent="0.2">
      <c r="A25" t="s">
        <v>352</v>
      </c>
      <c r="B25">
        <v>4.53</v>
      </c>
      <c r="C25">
        <v>2.8</v>
      </c>
      <c r="D25">
        <f t="shared" si="1"/>
        <v>12.683999999999999</v>
      </c>
    </row>
    <row r="26" spans="1:4" x14ac:dyDescent="0.2">
      <c r="A26" t="s">
        <v>353</v>
      </c>
      <c r="B26">
        <v>4.5599999999999996</v>
      </c>
      <c r="C26">
        <v>2.8</v>
      </c>
      <c r="D26">
        <f t="shared" si="1"/>
        <v>12.767999999999999</v>
      </c>
    </row>
    <row r="27" spans="1:4" x14ac:dyDescent="0.2">
      <c r="A27" t="s">
        <v>343</v>
      </c>
      <c r="B27">
        <v>12.43</v>
      </c>
      <c r="C27">
        <v>2.8</v>
      </c>
      <c r="D27">
        <f t="shared" si="1"/>
        <v>34.803999999999995</v>
      </c>
    </row>
    <row r="28" spans="1:4" x14ac:dyDescent="0.2">
      <c r="A28" t="s">
        <v>344</v>
      </c>
      <c r="B28">
        <v>12.31</v>
      </c>
      <c r="C28">
        <v>2.8</v>
      </c>
      <c r="D28">
        <f t="shared" si="1"/>
        <v>34.467999999999996</v>
      </c>
    </row>
    <row r="29" spans="1:4" x14ac:dyDescent="0.2">
      <c r="A29" t="s">
        <v>354</v>
      </c>
      <c r="B29">
        <v>4.63</v>
      </c>
      <c r="C29">
        <v>2.8</v>
      </c>
      <c r="D29">
        <f t="shared" si="1"/>
        <v>12.963999999999999</v>
      </c>
    </row>
    <row r="31" spans="1:4" x14ac:dyDescent="0.2">
      <c r="A31" t="s">
        <v>265</v>
      </c>
      <c r="D31" s="7">
        <f>SUM(D2:D30)</f>
        <v>387.01599999999996</v>
      </c>
    </row>
  </sheetData>
  <phoneticPr fontId="9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9A49B-716B-47C0-9FDD-CE63345F27C7}">
  <sheetPr codeName="Hoja40"/>
  <dimension ref="A1:C4"/>
  <sheetViews>
    <sheetView workbookViewId="0">
      <selection activeCell="D578" sqref="D578"/>
    </sheetView>
  </sheetViews>
  <sheetFormatPr baseColWidth="10" defaultRowHeight="16" x14ac:dyDescent="0.2"/>
  <sheetData>
    <row r="1" spans="1:3" x14ac:dyDescent="0.2">
      <c r="A1" t="s">
        <v>228</v>
      </c>
      <c r="B1" t="s">
        <v>239</v>
      </c>
      <c r="C1">
        <v>144.63999999999999</v>
      </c>
    </row>
    <row r="2" spans="1:3" x14ac:dyDescent="0.2">
      <c r="A2" t="s">
        <v>236</v>
      </c>
      <c r="B2" t="s">
        <v>239</v>
      </c>
      <c r="C2">
        <v>391</v>
      </c>
    </row>
    <row r="3" spans="1:3" x14ac:dyDescent="0.2">
      <c r="A3" t="s">
        <v>625</v>
      </c>
      <c r="C3">
        <v>25.39</v>
      </c>
    </row>
    <row r="4" spans="1:3" x14ac:dyDescent="0.2">
      <c r="B4" t="s">
        <v>267</v>
      </c>
      <c r="C4" s="7">
        <f>SUM(C1:C3)</f>
        <v>561.03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DCE4B-1F94-46D1-94E2-44E06CF8F31B}">
  <sheetPr codeName="Hoja41"/>
  <dimension ref="A2:B54"/>
  <sheetViews>
    <sheetView workbookViewId="0">
      <selection activeCell="D578" sqref="D578"/>
    </sheetView>
  </sheetViews>
  <sheetFormatPr baseColWidth="10" defaultRowHeight="16" x14ac:dyDescent="0.2"/>
  <sheetData>
    <row r="2" spans="1:2" x14ac:dyDescent="0.2">
      <c r="A2" t="s">
        <v>228</v>
      </c>
      <c r="B2">
        <v>9.56</v>
      </c>
    </row>
    <row r="3" spans="1:2" x14ac:dyDescent="0.2">
      <c r="B3">
        <v>25.03</v>
      </c>
    </row>
    <row r="4" spans="1:2" x14ac:dyDescent="0.2">
      <c r="B4">
        <v>1.88</v>
      </c>
    </row>
    <row r="5" spans="1:2" x14ac:dyDescent="0.2">
      <c r="B5">
        <v>18.21</v>
      </c>
    </row>
    <row r="6" spans="1:2" x14ac:dyDescent="0.2">
      <c r="B6">
        <v>0.12</v>
      </c>
    </row>
    <row r="7" spans="1:2" x14ac:dyDescent="0.2">
      <c r="B7">
        <v>17.350000000000001</v>
      </c>
    </row>
    <row r="8" spans="1:2" x14ac:dyDescent="0.2">
      <c r="B8">
        <v>0.12</v>
      </c>
    </row>
    <row r="9" spans="1:2" x14ac:dyDescent="0.2">
      <c r="B9">
        <v>22.15</v>
      </c>
    </row>
    <row r="10" spans="1:2" x14ac:dyDescent="0.2">
      <c r="B10">
        <v>5.72</v>
      </c>
    </row>
    <row r="11" spans="1:2" x14ac:dyDescent="0.2">
      <c r="B11">
        <v>3.04</v>
      </c>
    </row>
    <row r="12" spans="1:2" x14ac:dyDescent="0.2">
      <c r="B12">
        <v>13.46</v>
      </c>
    </row>
    <row r="13" spans="1:2" x14ac:dyDescent="0.2">
      <c r="B13">
        <v>18.36</v>
      </c>
    </row>
    <row r="14" spans="1:2" x14ac:dyDescent="0.2">
      <c r="B14">
        <v>43.12</v>
      </c>
    </row>
    <row r="15" spans="1:2" x14ac:dyDescent="0.2">
      <c r="B15">
        <v>2.41</v>
      </c>
    </row>
    <row r="16" spans="1:2" x14ac:dyDescent="0.2">
      <c r="B16">
        <v>3.23</v>
      </c>
    </row>
    <row r="17" spans="2:2" x14ac:dyDescent="0.2">
      <c r="B17">
        <v>52.65</v>
      </c>
    </row>
    <row r="18" spans="2:2" x14ac:dyDescent="0.2">
      <c r="B18">
        <v>23.72</v>
      </c>
    </row>
    <row r="19" spans="2:2" x14ac:dyDescent="0.2">
      <c r="B19">
        <v>15.74</v>
      </c>
    </row>
    <row r="20" spans="2:2" x14ac:dyDescent="0.2">
      <c r="B20">
        <v>2.0099999999999998</v>
      </c>
    </row>
    <row r="21" spans="2:2" x14ac:dyDescent="0.2">
      <c r="B21">
        <v>0.9</v>
      </c>
    </row>
    <row r="22" spans="2:2" x14ac:dyDescent="0.2">
      <c r="B22">
        <v>1.6</v>
      </c>
    </row>
    <row r="23" spans="2:2" x14ac:dyDescent="0.2">
      <c r="B23">
        <v>48.09</v>
      </c>
    </row>
    <row r="24" spans="2:2" x14ac:dyDescent="0.2">
      <c r="B24">
        <v>3.44</v>
      </c>
    </row>
    <row r="25" spans="2:2" x14ac:dyDescent="0.2">
      <c r="B25">
        <v>45.32</v>
      </c>
    </row>
    <row r="26" spans="2:2" x14ac:dyDescent="0.2">
      <c r="B26">
        <v>1.6</v>
      </c>
    </row>
    <row r="27" spans="2:2" x14ac:dyDescent="0.2">
      <c r="B27">
        <v>4.8899999999999997</v>
      </c>
    </row>
    <row r="28" spans="2:2" x14ac:dyDescent="0.2">
      <c r="B28">
        <v>3.56</v>
      </c>
    </row>
    <row r="29" spans="2:2" x14ac:dyDescent="0.2">
      <c r="B29">
        <v>3.56</v>
      </c>
    </row>
    <row r="30" spans="2:2" x14ac:dyDescent="0.2">
      <c r="B30">
        <v>3.6</v>
      </c>
    </row>
    <row r="31" spans="2:2" x14ac:dyDescent="0.2">
      <c r="B31">
        <v>3.6</v>
      </c>
    </row>
    <row r="32" spans="2:2" x14ac:dyDescent="0.2">
      <c r="B32">
        <v>2.4300000000000002</v>
      </c>
    </row>
    <row r="33" spans="1:2" x14ac:dyDescent="0.2">
      <c r="B33">
        <f>SUM(B2:B32)</f>
        <v>400.47000000000008</v>
      </c>
    </row>
    <row r="34" spans="1:2" x14ac:dyDescent="0.2">
      <c r="A34" t="s">
        <v>236</v>
      </c>
      <c r="B34">
        <v>4.68</v>
      </c>
    </row>
    <row r="35" spans="1:2" x14ac:dyDescent="0.2">
      <c r="B35">
        <v>2.3199999999999998</v>
      </c>
    </row>
    <row r="36" spans="1:2" x14ac:dyDescent="0.2">
      <c r="B36">
        <v>25.52</v>
      </c>
    </row>
    <row r="37" spans="1:2" x14ac:dyDescent="0.2">
      <c r="B37">
        <v>6.25</v>
      </c>
    </row>
    <row r="38" spans="1:2" x14ac:dyDescent="0.2">
      <c r="B38">
        <v>4.24</v>
      </c>
    </row>
    <row r="39" spans="1:2" x14ac:dyDescent="0.2">
      <c r="B39">
        <v>29.67</v>
      </c>
    </row>
    <row r="40" spans="1:2" x14ac:dyDescent="0.2">
      <c r="B40">
        <v>9.31</v>
      </c>
    </row>
    <row r="41" spans="1:2" x14ac:dyDescent="0.2">
      <c r="B41">
        <v>24.87</v>
      </c>
    </row>
    <row r="42" spans="1:2" x14ac:dyDescent="0.2">
      <c r="B42">
        <v>13.49</v>
      </c>
    </row>
    <row r="43" spans="1:2" x14ac:dyDescent="0.2">
      <c r="B43">
        <v>1.18</v>
      </c>
    </row>
    <row r="44" spans="1:2" x14ac:dyDescent="0.2">
      <c r="B44">
        <v>5.24</v>
      </c>
    </row>
    <row r="45" spans="1:2" x14ac:dyDescent="0.2">
      <c r="B45">
        <v>12.74</v>
      </c>
    </row>
    <row r="46" spans="1:2" x14ac:dyDescent="0.2">
      <c r="B46">
        <v>1.49</v>
      </c>
    </row>
    <row r="47" spans="1:2" x14ac:dyDescent="0.2">
      <c r="B47">
        <v>2.21</v>
      </c>
    </row>
    <row r="48" spans="1:2" x14ac:dyDescent="0.2">
      <c r="B48">
        <v>1.6</v>
      </c>
    </row>
    <row r="49" spans="1:2" x14ac:dyDescent="0.2">
      <c r="B49">
        <v>54.29</v>
      </c>
    </row>
    <row r="50" spans="1:2" x14ac:dyDescent="0.2">
      <c r="B50">
        <v>20.71</v>
      </c>
    </row>
    <row r="51" spans="1:2" x14ac:dyDescent="0.2">
      <c r="B51">
        <v>1.6</v>
      </c>
    </row>
    <row r="52" spans="1:2" x14ac:dyDescent="0.2">
      <c r="B52">
        <f>SUM(B34:B51)</f>
        <v>221.41000000000003</v>
      </c>
    </row>
    <row r="54" spans="1:2" x14ac:dyDescent="0.2">
      <c r="A54" t="s">
        <v>267</v>
      </c>
      <c r="B54" s="7">
        <f>B52+B33</f>
        <v>621.88000000000011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FD87E-840B-4A7A-B2BD-C23EEB6C5C6E}">
  <sheetPr codeName="Hoja42"/>
  <dimension ref="A1:B4"/>
  <sheetViews>
    <sheetView workbookViewId="0">
      <selection activeCell="D578" sqref="D578"/>
    </sheetView>
  </sheetViews>
  <sheetFormatPr baseColWidth="10" defaultRowHeight="16" x14ac:dyDescent="0.2"/>
  <cols>
    <col min="1" max="1" width="17.6640625" bestFit="1" customWidth="1"/>
  </cols>
  <sheetData>
    <row r="1" spans="1:2" x14ac:dyDescent="0.2">
      <c r="A1" t="s">
        <v>284</v>
      </c>
      <c r="B1" s="7">
        <f>PISOS!L2</f>
        <v>826.13</v>
      </c>
    </row>
    <row r="2" spans="1:2" x14ac:dyDescent="0.2">
      <c r="A2" t="s">
        <v>332</v>
      </c>
      <c r="B2" s="7">
        <f>PISOS!E17</f>
        <v>78.699999999999989</v>
      </c>
    </row>
    <row r="4" spans="1:2" x14ac:dyDescent="0.2">
      <c r="A4" t="s">
        <v>265</v>
      </c>
      <c r="B4" s="7">
        <f>SUM(B1:B3)</f>
        <v>904.82999999999993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4ADC-3179-4D05-8532-B3609210E9F8}">
  <sheetPr codeName="Hoja43"/>
  <dimension ref="A1:F2"/>
  <sheetViews>
    <sheetView workbookViewId="0">
      <selection sqref="A1:F2"/>
    </sheetView>
  </sheetViews>
  <sheetFormatPr baseColWidth="10" defaultRowHeight="16" x14ac:dyDescent="0.2"/>
  <cols>
    <col min="1" max="1" width="33.6640625" bestFit="1" customWidth="1"/>
    <col min="2" max="2" width="16.6640625" bestFit="1" customWidth="1"/>
    <col min="3" max="3" width="18.33203125" bestFit="1" customWidth="1"/>
    <col min="4" max="4" width="21.33203125" bestFit="1" customWidth="1"/>
    <col min="5" max="5" width="12.6640625" bestFit="1" customWidth="1"/>
  </cols>
  <sheetData>
    <row r="1" spans="1:6" x14ac:dyDescent="0.2">
      <c r="A1" t="s">
        <v>326</v>
      </c>
      <c r="B1" t="s">
        <v>327</v>
      </c>
      <c r="C1" t="s">
        <v>331</v>
      </c>
      <c r="D1" t="s">
        <v>329</v>
      </c>
      <c r="E1" t="s">
        <v>328</v>
      </c>
      <c r="F1" t="s">
        <v>330</v>
      </c>
    </row>
    <row r="2" spans="1:6" x14ac:dyDescent="0.2">
      <c r="B2">
        <f>'CONTRAPISO 10CM'!B6</f>
        <v>600.41</v>
      </c>
      <c r="C2">
        <f>D2*(2.35*6)</f>
        <v>676.80000000000007</v>
      </c>
      <c r="D2">
        <f>4+44</f>
        <v>48</v>
      </c>
      <c r="E2">
        <v>18.88</v>
      </c>
      <c r="F2" s="7">
        <f>(D2*E2)</f>
        <v>906.24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3CA55-5494-4384-BBF4-771757FE4CB9}">
  <sheetPr codeName="Hoja44"/>
  <dimension ref="A1:E6"/>
  <sheetViews>
    <sheetView workbookViewId="0">
      <selection activeCell="D578" sqref="D578"/>
    </sheetView>
  </sheetViews>
  <sheetFormatPr baseColWidth="10" defaultRowHeight="16" x14ac:dyDescent="0.2"/>
  <cols>
    <col min="1" max="1" width="16.1640625" bestFit="1" customWidth="1"/>
  </cols>
  <sheetData>
    <row r="1" spans="1:5" x14ac:dyDescent="0.2">
      <c r="A1" t="s">
        <v>322</v>
      </c>
      <c r="B1">
        <v>603.61</v>
      </c>
    </row>
    <row r="3" spans="1:5" x14ac:dyDescent="0.2">
      <c r="A3" t="s">
        <v>324</v>
      </c>
    </row>
    <row r="4" spans="1:5" x14ac:dyDescent="0.2">
      <c r="A4" t="s">
        <v>323</v>
      </c>
      <c r="B4">
        <v>0.4</v>
      </c>
      <c r="C4">
        <v>0.4</v>
      </c>
      <c r="D4">
        <v>20</v>
      </c>
      <c r="E4">
        <f>(B4*C4)*D4</f>
        <v>3.2000000000000006</v>
      </c>
    </row>
    <row r="6" spans="1:5" x14ac:dyDescent="0.2">
      <c r="A6" t="s">
        <v>265</v>
      </c>
      <c r="B6" s="7">
        <f>B1-E4</f>
        <v>600.41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8D18E-F32D-4B17-8B03-A3F76EFA6D07}">
  <sheetPr codeName="Hoja45"/>
  <dimension ref="A1:E6"/>
  <sheetViews>
    <sheetView workbookViewId="0">
      <selection activeCell="D578" sqref="D578"/>
    </sheetView>
  </sheetViews>
  <sheetFormatPr baseColWidth="10" defaultRowHeight="16" x14ac:dyDescent="0.2"/>
  <sheetData>
    <row r="1" spans="1:5" x14ac:dyDescent="0.2">
      <c r="A1" t="s">
        <v>320</v>
      </c>
      <c r="B1" t="s">
        <v>321</v>
      </c>
      <c r="C1" t="s">
        <v>263</v>
      </c>
      <c r="D1" t="s">
        <v>283</v>
      </c>
      <c r="E1" t="s">
        <v>267</v>
      </c>
    </row>
    <row r="2" spans="1:5" x14ac:dyDescent="0.2">
      <c r="A2" t="s">
        <v>228</v>
      </c>
      <c r="B2">
        <v>13</v>
      </c>
      <c r="C2">
        <v>3.8</v>
      </c>
      <c r="D2">
        <v>2</v>
      </c>
      <c r="E2">
        <f>(B2*C2)*D2</f>
        <v>98.8</v>
      </c>
    </row>
    <row r="3" spans="1:5" x14ac:dyDescent="0.2">
      <c r="A3" t="s">
        <v>236</v>
      </c>
      <c r="B3">
        <v>9</v>
      </c>
      <c r="C3">
        <v>3.8</v>
      </c>
      <c r="D3">
        <v>2</v>
      </c>
      <c r="E3">
        <f>(B3*C3)*D3</f>
        <v>68.399999999999991</v>
      </c>
    </row>
    <row r="4" spans="1:5" x14ac:dyDescent="0.2">
      <c r="A4" t="s">
        <v>236</v>
      </c>
      <c r="B4">
        <v>2</v>
      </c>
      <c r="C4">
        <v>0.9</v>
      </c>
      <c r="D4">
        <v>2</v>
      </c>
      <c r="E4">
        <f t="shared" ref="E4" si="0">(B4*C4)*D4</f>
        <v>3.6</v>
      </c>
    </row>
    <row r="5" spans="1:5" x14ac:dyDescent="0.2">
      <c r="A5" t="s">
        <v>239</v>
      </c>
      <c r="B5">
        <v>9</v>
      </c>
      <c r="C5">
        <v>0.9</v>
      </c>
      <c r="D5">
        <v>2</v>
      </c>
      <c r="E5">
        <f>(B5*C5)*D5</f>
        <v>16.2</v>
      </c>
    </row>
    <row r="6" spans="1:5" x14ac:dyDescent="0.2">
      <c r="D6" t="s">
        <v>265</v>
      </c>
      <c r="E6" s="7">
        <f>SUM(E2:E5)</f>
        <v>186.99999999999997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39723-25A9-484E-9B09-79F4FD2C90F6}">
  <dimension ref="A2:B4"/>
  <sheetViews>
    <sheetView workbookViewId="0">
      <selection activeCell="B8" sqref="B8"/>
    </sheetView>
  </sheetViews>
  <sheetFormatPr baseColWidth="10" defaultRowHeight="16" x14ac:dyDescent="0.2"/>
  <cols>
    <col min="1" max="1" width="14.1640625" bestFit="1" customWidth="1"/>
  </cols>
  <sheetData>
    <row r="2" spans="1:2" x14ac:dyDescent="0.2">
      <c r="A2" t="s">
        <v>797</v>
      </c>
      <c r="B2">
        <v>4</v>
      </c>
    </row>
    <row r="3" spans="1:2" x14ac:dyDescent="0.2">
      <c r="A3" t="s">
        <v>286</v>
      </c>
      <c r="B3">
        <v>6</v>
      </c>
    </row>
    <row r="4" spans="1:2" x14ac:dyDescent="0.2">
      <c r="A4" t="s">
        <v>265</v>
      </c>
      <c r="B4">
        <f>SUM(B2:B3)</f>
        <v>10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26F95-8413-43C2-AC69-CC7C1A17D869}">
  <sheetPr codeName="Hoja46"/>
  <dimension ref="A1:E6"/>
  <sheetViews>
    <sheetView workbookViewId="0">
      <selection activeCell="D578" sqref="D578"/>
    </sheetView>
  </sheetViews>
  <sheetFormatPr baseColWidth="10" defaultRowHeight="16" x14ac:dyDescent="0.2"/>
  <cols>
    <col min="1" max="1" width="34.6640625" bestFit="1" customWidth="1"/>
  </cols>
  <sheetData>
    <row r="1" spans="1:5" x14ac:dyDescent="0.2">
      <c r="A1" t="s">
        <v>315</v>
      </c>
      <c r="B1" t="s">
        <v>107</v>
      </c>
      <c r="C1" t="s">
        <v>263</v>
      </c>
      <c r="D1" t="s">
        <v>309</v>
      </c>
      <c r="E1" t="s">
        <v>267</v>
      </c>
    </row>
    <row r="2" spans="1:5" x14ac:dyDescent="0.2">
      <c r="A2" t="s">
        <v>316</v>
      </c>
      <c r="B2">
        <v>26</v>
      </c>
      <c r="C2">
        <v>3.8</v>
      </c>
      <c r="D2">
        <v>2</v>
      </c>
      <c r="E2">
        <f>(B2*C2)*D2</f>
        <v>197.6</v>
      </c>
    </row>
    <row r="3" spans="1:5" x14ac:dyDescent="0.2">
      <c r="A3" t="s">
        <v>317</v>
      </c>
      <c r="B3">
        <v>11</v>
      </c>
      <c r="C3">
        <v>3.8</v>
      </c>
      <c r="D3">
        <v>1</v>
      </c>
      <c r="E3">
        <f>(B3*C3)*D3</f>
        <v>41.8</v>
      </c>
    </row>
    <row r="4" spans="1:5" x14ac:dyDescent="0.2">
      <c r="A4" t="s">
        <v>318</v>
      </c>
      <c r="B4">
        <v>4</v>
      </c>
      <c r="C4">
        <v>0.9</v>
      </c>
      <c r="D4">
        <v>1</v>
      </c>
      <c r="E4">
        <f>(B4*C4)*D4</f>
        <v>3.6</v>
      </c>
    </row>
    <row r="5" spans="1:5" x14ac:dyDescent="0.2">
      <c r="A5" t="s">
        <v>319</v>
      </c>
      <c r="B5">
        <v>18</v>
      </c>
      <c r="C5">
        <v>0.9</v>
      </c>
      <c r="D5">
        <v>1</v>
      </c>
      <c r="E5">
        <f>(B5*C5)*D5</f>
        <v>16.2</v>
      </c>
    </row>
    <row r="6" spans="1:5" x14ac:dyDescent="0.2">
      <c r="D6" t="s">
        <v>265</v>
      </c>
      <c r="E6" s="7">
        <f>SUM(E2:E5)</f>
        <v>259.2</v>
      </c>
    </row>
  </sheetData>
  <phoneticPr fontId="9" type="noConversion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4B0B-713D-4AF4-BC0B-CA93BB5E1E42}">
  <sheetPr codeName="Hoja47"/>
  <dimension ref="A2:D44"/>
  <sheetViews>
    <sheetView topLeftCell="A13" workbookViewId="0">
      <selection activeCell="D578" sqref="D578"/>
    </sheetView>
  </sheetViews>
  <sheetFormatPr baseColWidth="10" defaultRowHeight="16" x14ac:dyDescent="0.2"/>
  <cols>
    <col min="1" max="1" width="30.1640625" bestFit="1" customWidth="1"/>
    <col min="2" max="4" width="11" style="5"/>
  </cols>
  <sheetData>
    <row r="2" spans="1:4" x14ac:dyDescent="0.2">
      <c r="A2" t="s">
        <v>225</v>
      </c>
      <c r="B2" s="5" t="s">
        <v>297</v>
      </c>
      <c r="C2" s="5" t="s">
        <v>301</v>
      </c>
      <c r="D2" s="5" t="s">
        <v>298</v>
      </c>
    </row>
    <row r="3" spans="1:4" x14ac:dyDescent="0.2">
      <c r="A3" t="s">
        <v>296</v>
      </c>
      <c r="B3" s="5">
        <v>2.5499999999999998</v>
      </c>
      <c r="C3" s="5">
        <v>1</v>
      </c>
      <c r="D3" s="5">
        <f>B3*C3</f>
        <v>2.5499999999999998</v>
      </c>
    </row>
    <row r="4" spans="1:4" x14ac:dyDescent="0.2">
      <c r="A4" t="s">
        <v>299</v>
      </c>
      <c r="B4" s="5">
        <v>2.5499999999999998</v>
      </c>
      <c r="C4" s="5">
        <v>1</v>
      </c>
      <c r="D4" s="5">
        <f t="shared" ref="D4:D5" si="0">B4*C4</f>
        <v>2.5499999999999998</v>
      </c>
    </row>
    <row r="5" spans="1:4" x14ac:dyDescent="0.2">
      <c r="A5" t="s">
        <v>300</v>
      </c>
      <c r="B5" s="5">
        <v>2.5499999999999998</v>
      </c>
      <c r="C5" s="5">
        <v>2</v>
      </c>
      <c r="D5" s="5">
        <f t="shared" si="0"/>
        <v>5.0999999999999996</v>
      </c>
    </row>
    <row r="6" spans="1:4" x14ac:dyDescent="0.2">
      <c r="A6" t="s">
        <v>300</v>
      </c>
      <c r="B6" s="5">
        <v>1</v>
      </c>
      <c r="C6" s="5">
        <v>1</v>
      </c>
      <c r="D6" s="5">
        <f t="shared" ref="D6" si="1">B6*C6</f>
        <v>1</v>
      </c>
    </row>
    <row r="7" spans="1:4" x14ac:dyDescent="0.2">
      <c r="A7" t="s">
        <v>302</v>
      </c>
      <c r="B7" s="5">
        <v>13.3</v>
      </c>
      <c r="C7" s="5">
        <v>1</v>
      </c>
      <c r="D7" s="5">
        <f t="shared" ref="D7:D8" si="2">B7*C7</f>
        <v>13.3</v>
      </c>
    </row>
    <row r="8" spans="1:4" x14ac:dyDescent="0.2">
      <c r="A8" t="s">
        <v>303</v>
      </c>
      <c r="B8" s="5">
        <v>15.63</v>
      </c>
      <c r="C8" s="5">
        <v>1</v>
      </c>
      <c r="D8" s="5">
        <f t="shared" si="2"/>
        <v>15.63</v>
      </c>
    </row>
    <row r="9" spans="1:4" x14ac:dyDescent="0.2">
      <c r="D9" s="5">
        <f>SUM(D3:D8)</f>
        <v>40.130000000000003</v>
      </c>
    </row>
    <row r="10" spans="1:4" x14ac:dyDescent="0.2">
      <c r="A10" t="s">
        <v>228</v>
      </c>
      <c r="B10" s="5" t="s">
        <v>297</v>
      </c>
      <c r="C10" s="5" t="s">
        <v>301</v>
      </c>
      <c r="D10" s="5" t="s">
        <v>298</v>
      </c>
    </row>
    <row r="11" spans="1:4" x14ac:dyDescent="0.2">
      <c r="A11" t="s">
        <v>304</v>
      </c>
      <c r="B11" s="5">
        <v>2.8</v>
      </c>
      <c r="C11" s="5">
        <v>1</v>
      </c>
      <c r="D11" s="5">
        <f t="shared" ref="D11:D14" si="3">B11*C11</f>
        <v>2.8</v>
      </c>
    </row>
    <row r="12" spans="1:4" x14ac:dyDescent="0.2">
      <c r="A12" t="s">
        <v>304</v>
      </c>
      <c r="B12" s="5">
        <v>2.8</v>
      </c>
      <c r="C12" s="5">
        <v>1</v>
      </c>
      <c r="D12" s="5">
        <f t="shared" si="3"/>
        <v>2.8</v>
      </c>
    </row>
    <row r="13" spans="1:4" x14ac:dyDescent="0.2">
      <c r="A13" t="s">
        <v>305</v>
      </c>
      <c r="B13" s="5">
        <v>2.8</v>
      </c>
      <c r="C13" s="5">
        <v>1</v>
      </c>
      <c r="D13" s="5">
        <f t="shared" si="3"/>
        <v>2.8</v>
      </c>
    </row>
    <row r="14" spans="1:4" x14ac:dyDescent="0.2">
      <c r="A14" t="s">
        <v>313</v>
      </c>
      <c r="B14" s="5">
        <v>4.68</v>
      </c>
      <c r="C14" s="5">
        <v>1</v>
      </c>
      <c r="D14" s="5">
        <f t="shared" si="3"/>
        <v>4.68</v>
      </c>
    </row>
    <row r="15" spans="1:4" x14ac:dyDescent="0.2">
      <c r="A15" t="s">
        <v>313</v>
      </c>
      <c r="B15" s="5">
        <f>2.55-0.8</f>
        <v>1.7499999999999998</v>
      </c>
      <c r="C15" s="5">
        <v>2</v>
      </c>
      <c r="D15" s="5">
        <f t="shared" ref="D15" si="4">B15*C15</f>
        <v>3.4999999999999996</v>
      </c>
    </row>
    <row r="16" spans="1:4" x14ac:dyDescent="0.2">
      <c r="A16" t="s">
        <v>300</v>
      </c>
      <c r="B16" s="5">
        <v>2.5499999999999998</v>
      </c>
      <c r="C16" s="5">
        <v>2</v>
      </c>
      <c r="D16" s="5">
        <f t="shared" ref="D16:D17" si="5">B16*C16</f>
        <v>5.0999999999999996</v>
      </c>
    </row>
    <row r="17" spans="1:4" x14ac:dyDescent="0.2">
      <c r="A17" t="s">
        <v>300</v>
      </c>
      <c r="B17" s="5">
        <v>1</v>
      </c>
      <c r="C17" s="5">
        <v>1</v>
      </c>
      <c r="D17" s="5">
        <f t="shared" si="5"/>
        <v>1</v>
      </c>
    </row>
    <row r="18" spans="1:4" x14ac:dyDescent="0.2">
      <c r="D18" s="5">
        <f>SUM(D11:D17)</f>
        <v>22.68</v>
      </c>
    </row>
    <row r="19" spans="1:4" x14ac:dyDescent="0.2">
      <c r="A19" t="s">
        <v>236</v>
      </c>
      <c r="B19" s="5" t="s">
        <v>297</v>
      </c>
      <c r="C19" s="5" t="s">
        <v>301</v>
      </c>
      <c r="D19" s="5" t="s">
        <v>298</v>
      </c>
    </row>
    <row r="20" spans="1:4" x14ac:dyDescent="0.2">
      <c r="A20" t="s">
        <v>304</v>
      </c>
      <c r="B20" s="5">
        <v>2.8</v>
      </c>
      <c r="C20" s="5">
        <v>1</v>
      </c>
      <c r="D20" s="5">
        <f t="shared" ref="D20:D28" si="6">B20*C20</f>
        <v>2.8</v>
      </c>
    </row>
    <row r="21" spans="1:4" x14ac:dyDescent="0.2">
      <c r="A21" t="s">
        <v>304</v>
      </c>
      <c r="B21" s="5">
        <v>2.8</v>
      </c>
      <c r="C21" s="5">
        <v>1</v>
      </c>
      <c r="D21" s="5">
        <f t="shared" si="6"/>
        <v>2.8</v>
      </c>
    </row>
    <row r="22" spans="1:4" x14ac:dyDescent="0.2">
      <c r="A22" t="s">
        <v>306</v>
      </c>
      <c r="B22" s="5">
        <v>2.5499999999999998</v>
      </c>
      <c r="C22" s="5">
        <v>2</v>
      </c>
      <c r="D22" s="5">
        <f t="shared" si="6"/>
        <v>5.0999999999999996</v>
      </c>
    </row>
    <row r="23" spans="1:4" x14ac:dyDescent="0.2">
      <c r="A23" t="s">
        <v>306</v>
      </c>
      <c r="B23" s="5">
        <v>1.4</v>
      </c>
      <c r="C23" s="5">
        <v>1</v>
      </c>
      <c r="D23" s="5">
        <f t="shared" si="6"/>
        <v>1.4</v>
      </c>
    </row>
    <row r="24" spans="1:4" x14ac:dyDescent="0.2">
      <c r="A24" t="s">
        <v>305</v>
      </c>
      <c r="B24" s="5">
        <v>2.8</v>
      </c>
      <c r="C24" s="5">
        <v>1</v>
      </c>
      <c r="D24" s="5">
        <f t="shared" si="6"/>
        <v>2.8</v>
      </c>
    </row>
    <row r="25" spans="1:4" x14ac:dyDescent="0.2">
      <c r="A25" t="s">
        <v>313</v>
      </c>
      <c r="B25" s="5">
        <v>4.68</v>
      </c>
      <c r="C25" s="5">
        <v>1</v>
      </c>
      <c r="D25" s="5">
        <f t="shared" si="6"/>
        <v>4.68</v>
      </c>
    </row>
    <row r="26" spans="1:4" x14ac:dyDescent="0.2">
      <c r="A26" t="s">
        <v>313</v>
      </c>
      <c r="B26" s="5">
        <f>2.55-0.8</f>
        <v>1.7499999999999998</v>
      </c>
      <c r="C26" s="5">
        <v>2</v>
      </c>
      <c r="D26" s="5">
        <f t="shared" si="6"/>
        <v>3.4999999999999996</v>
      </c>
    </row>
    <row r="27" spans="1:4" x14ac:dyDescent="0.2">
      <c r="A27" t="s">
        <v>300</v>
      </c>
      <c r="B27" s="5">
        <v>2.5499999999999998</v>
      </c>
      <c r="C27" s="5">
        <v>2</v>
      </c>
      <c r="D27" s="5">
        <f t="shared" si="6"/>
        <v>5.0999999999999996</v>
      </c>
    </row>
    <row r="28" spans="1:4" x14ac:dyDescent="0.2">
      <c r="A28" t="s">
        <v>300</v>
      </c>
      <c r="B28" s="5">
        <v>1</v>
      </c>
      <c r="C28" s="5">
        <v>1</v>
      </c>
      <c r="D28" s="5">
        <f t="shared" si="6"/>
        <v>1</v>
      </c>
    </row>
    <row r="29" spans="1:4" x14ac:dyDescent="0.2">
      <c r="A29" t="s">
        <v>307</v>
      </c>
      <c r="B29" s="5">
        <v>2.5499999999999998</v>
      </c>
      <c r="C29" s="5">
        <v>4</v>
      </c>
      <c r="D29" s="5">
        <f t="shared" ref="D29:D31" si="7">B29*C29</f>
        <v>10.199999999999999</v>
      </c>
    </row>
    <row r="30" spans="1:4" x14ac:dyDescent="0.2">
      <c r="A30" t="s">
        <v>307</v>
      </c>
      <c r="B30" s="5">
        <v>1.4</v>
      </c>
      <c r="C30" s="5">
        <v>1</v>
      </c>
      <c r="D30" s="5">
        <f t="shared" si="7"/>
        <v>1.4</v>
      </c>
    </row>
    <row r="31" spans="1:4" x14ac:dyDescent="0.2">
      <c r="A31" t="s">
        <v>238</v>
      </c>
      <c r="B31" s="5">
        <v>37.479999999999997</v>
      </c>
      <c r="C31" s="5">
        <v>1</v>
      </c>
      <c r="D31" s="5">
        <f t="shared" si="7"/>
        <v>37.479999999999997</v>
      </c>
    </row>
    <row r="32" spans="1:4" x14ac:dyDescent="0.2">
      <c r="D32" s="5">
        <f>SUM(D20:D31)</f>
        <v>78.259999999999991</v>
      </c>
    </row>
    <row r="33" spans="1:4" x14ac:dyDescent="0.2">
      <c r="A33" t="s">
        <v>239</v>
      </c>
      <c r="B33" s="5" t="s">
        <v>297</v>
      </c>
      <c r="C33" s="5" t="s">
        <v>301</v>
      </c>
      <c r="D33" s="5" t="s">
        <v>298</v>
      </c>
    </row>
    <row r="34" spans="1:4" x14ac:dyDescent="0.2">
      <c r="A34" t="s">
        <v>300</v>
      </c>
      <c r="B34" s="5">
        <v>2.5499999999999998</v>
      </c>
      <c r="C34" s="5">
        <v>2</v>
      </c>
      <c r="D34" s="5">
        <f t="shared" ref="D34:D42" si="8">B34*C34</f>
        <v>5.0999999999999996</v>
      </c>
    </row>
    <row r="35" spans="1:4" x14ac:dyDescent="0.2">
      <c r="A35" t="s">
        <v>300</v>
      </c>
      <c r="B35" s="5">
        <v>1</v>
      </c>
      <c r="C35" s="5">
        <v>1</v>
      </c>
      <c r="D35" s="5">
        <f t="shared" si="8"/>
        <v>1</v>
      </c>
    </row>
    <row r="36" spans="1:4" x14ac:dyDescent="0.2">
      <c r="A36" t="s">
        <v>312</v>
      </c>
      <c r="B36" s="5">
        <v>2.5499999999999998</v>
      </c>
      <c r="C36" s="5">
        <v>1</v>
      </c>
      <c r="D36" s="5">
        <f t="shared" si="8"/>
        <v>2.5499999999999998</v>
      </c>
    </row>
    <row r="37" spans="1:4" x14ac:dyDescent="0.2">
      <c r="A37" t="s">
        <v>312</v>
      </c>
      <c r="B37" s="5">
        <v>1.4</v>
      </c>
      <c r="C37" s="5">
        <v>1</v>
      </c>
      <c r="D37" s="5">
        <f t="shared" si="8"/>
        <v>1.4</v>
      </c>
    </row>
    <row r="38" spans="1:4" x14ac:dyDescent="0.2">
      <c r="A38" t="s">
        <v>313</v>
      </c>
      <c r="B38" s="5">
        <v>4.68</v>
      </c>
      <c r="C38" s="5">
        <v>1</v>
      </c>
      <c r="D38" s="5">
        <f t="shared" si="8"/>
        <v>4.68</v>
      </c>
    </row>
    <row r="39" spans="1:4" x14ac:dyDescent="0.2">
      <c r="A39" t="s">
        <v>313</v>
      </c>
      <c r="B39" s="5">
        <f>2.55-0.8</f>
        <v>1.7499999999999998</v>
      </c>
      <c r="C39" s="5">
        <v>2</v>
      </c>
      <c r="D39" s="5">
        <f t="shared" si="8"/>
        <v>3.4999999999999996</v>
      </c>
    </row>
    <row r="40" spans="1:4" x14ac:dyDescent="0.2">
      <c r="A40" t="s">
        <v>314</v>
      </c>
      <c r="B40" s="5">
        <v>34.369999999999997</v>
      </c>
      <c r="C40" s="5">
        <v>1</v>
      </c>
      <c r="D40" s="5">
        <f t="shared" si="8"/>
        <v>34.369999999999997</v>
      </c>
    </row>
    <row r="41" spans="1:4" x14ac:dyDescent="0.2">
      <c r="A41" t="s">
        <v>314</v>
      </c>
      <c r="B41" s="5">
        <v>34.06</v>
      </c>
      <c r="C41" s="5">
        <v>1</v>
      </c>
      <c r="D41" s="5">
        <f t="shared" si="8"/>
        <v>34.06</v>
      </c>
    </row>
    <row r="42" spans="1:4" x14ac:dyDescent="0.2">
      <c r="A42" t="s">
        <v>314</v>
      </c>
      <c r="B42" s="5">
        <v>12.6</v>
      </c>
      <c r="C42" s="5">
        <v>2</v>
      </c>
      <c r="D42" s="5">
        <f t="shared" si="8"/>
        <v>25.2</v>
      </c>
    </row>
    <row r="43" spans="1:4" x14ac:dyDescent="0.2">
      <c r="A43" t="s">
        <v>314</v>
      </c>
      <c r="B43" s="5">
        <v>13.99</v>
      </c>
      <c r="C43" s="5">
        <v>1</v>
      </c>
      <c r="D43" s="5">
        <f t="shared" ref="D43" si="9">B43*C43</f>
        <v>13.99</v>
      </c>
    </row>
    <row r="44" spans="1:4" x14ac:dyDescent="0.2">
      <c r="B44" s="8" t="s">
        <v>265</v>
      </c>
      <c r="C44" s="8"/>
      <c r="D44" s="8">
        <f>SUM(D34:D43)</f>
        <v>125.85</v>
      </c>
    </row>
  </sheetData>
  <pageMargins left="0.7" right="0.7" top="0.75" bottom="0.75" header="0.3" footer="0.3"/>
  <pageSetup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6340B-4B63-482F-8523-73299C45DC89}">
  <sheetPr codeName="Hoja48"/>
  <dimension ref="A1:L22"/>
  <sheetViews>
    <sheetView topLeftCell="B1" workbookViewId="0">
      <selection activeCell="D578" sqref="D578"/>
    </sheetView>
  </sheetViews>
  <sheetFormatPr baseColWidth="10" defaultRowHeight="16" x14ac:dyDescent="0.2"/>
  <cols>
    <col min="1" max="1" width="29" bestFit="1" customWidth="1"/>
    <col min="3" max="3" width="14.1640625" bestFit="1" customWidth="1"/>
    <col min="5" max="6" width="14.1640625" bestFit="1" customWidth="1"/>
    <col min="7" max="7" width="23.1640625" bestFit="1" customWidth="1"/>
    <col min="8" max="8" width="23.6640625" bestFit="1" customWidth="1"/>
    <col min="9" max="9" width="23.33203125" bestFit="1" customWidth="1"/>
    <col min="10" max="11" width="22.83203125" bestFit="1" customWidth="1"/>
  </cols>
  <sheetData>
    <row r="1" spans="1:12" x14ac:dyDescent="0.2">
      <c r="B1" t="s">
        <v>225</v>
      </c>
      <c r="C1" t="s">
        <v>228</v>
      </c>
      <c r="D1" t="s">
        <v>236</v>
      </c>
      <c r="E1" t="s">
        <v>286</v>
      </c>
      <c r="F1" t="s">
        <v>285</v>
      </c>
      <c r="G1" t="s">
        <v>290</v>
      </c>
      <c r="H1" t="s">
        <v>291</v>
      </c>
      <c r="I1" t="s">
        <v>292</v>
      </c>
      <c r="J1" t="s">
        <v>293</v>
      </c>
      <c r="K1" t="s">
        <v>294</v>
      </c>
    </row>
    <row r="2" spans="1:12" x14ac:dyDescent="0.2">
      <c r="A2" t="s">
        <v>284</v>
      </c>
      <c r="C2">
        <v>487.8</v>
      </c>
      <c r="D2">
        <f>334.78-20.72</f>
        <v>314.05999999999995</v>
      </c>
      <c r="E2">
        <v>144.63999999999999</v>
      </c>
      <c r="F2">
        <v>392.72</v>
      </c>
      <c r="G2">
        <v>12.15</v>
      </c>
      <c r="H2">
        <v>12.15</v>
      </c>
      <c r="I2">
        <v>15.95</v>
      </c>
      <c r="J2">
        <v>16.079999999999998</v>
      </c>
      <c r="K2">
        <v>15.56</v>
      </c>
      <c r="L2" s="7">
        <f>C2+D2+G2+H2+I2+J2+K2-E17+E21+E22</f>
        <v>826.13</v>
      </c>
    </row>
    <row r="3" spans="1:12" x14ac:dyDescent="0.2">
      <c r="A3" t="s">
        <v>287</v>
      </c>
      <c r="B3">
        <v>549.42999999999995</v>
      </c>
    </row>
    <row r="5" spans="1:12" x14ac:dyDescent="0.2">
      <c r="A5" t="s">
        <v>288</v>
      </c>
    </row>
    <row r="6" spans="1:12" x14ac:dyDescent="0.2">
      <c r="A6" t="s">
        <v>289</v>
      </c>
      <c r="B6">
        <v>2.64</v>
      </c>
      <c r="C6">
        <v>1.82</v>
      </c>
      <c r="D6">
        <v>1.82</v>
      </c>
    </row>
    <row r="7" spans="1:12" x14ac:dyDescent="0.2">
      <c r="C7">
        <v>1.68</v>
      </c>
      <c r="D7">
        <v>1.68</v>
      </c>
    </row>
    <row r="8" spans="1:12" x14ac:dyDescent="0.2">
      <c r="C8">
        <v>1.82</v>
      </c>
      <c r="D8">
        <v>1.69</v>
      </c>
    </row>
    <row r="9" spans="1:12" x14ac:dyDescent="0.2">
      <c r="C9">
        <v>9.11</v>
      </c>
      <c r="D9">
        <v>9.11</v>
      </c>
    </row>
    <row r="10" spans="1:12" x14ac:dyDescent="0.2">
      <c r="C10">
        <v>9.51</v>
      </c>
      <c r="D10">
        <v>9.51</v>
      </c>
    </row>
    <row r="11" spans="1:12" x14ac:dyDescent="0.2">
      <c r="C11">
        <v>1.73</v>
      </c>
      <c r="D11">
        <v>1.73</v>
      </c>
    </row>
    <row r="12" spans="1:12" x14ac:dyDescent="0.2">
      <c r="C12">
        <v>8.56</v>
      </c>
    </row>
    <row r="13" spans="1:12" x14ac:dyDescent="0.2">
      <c r="C13">
        <v>2.65</v>
      </c>
    </row>
    <row r="14" spans="1:12" x14ac:dyDescent="0.2">
      <c r="C14">
        <v>2.65</v>
      </c>
    </row>
    <row r="15" spans="1:12" x14ac:dyDescent="0.2">
      <c r="C15">
        <v>8.56</v>
      </c>
    </row>
    <row r="16" spans="1:12" x14ac:dyDescent="0.2">
      <c r="C16">
        <v>2.4300000000000002</v>
      </c>
    </row>
    <row r="17" spans="1:5" x14ac:dyDescent="0.2">
      <c r="A17" t="s">
        <v>295</v>
      </c>
      <c r="B17">
        <f>SUM(B6:B16)</f>
        <v>2.64</v>
      </c>
      <c r="C17">
        <f>SUM(C6:C16)</f>
        <v>50.519999999999996</v>
      </c>
      <c r="D17">
        <f>SUM(D6:D16)</f>
        <v>25.54</v>
      </c>
      <c r="E17" s="7">
        <f>SUM(B17:D17)</f>
        <v>78.699999999999989</v>
      </c>
    </row>
    <row r="20" spans="1:5" x14ac:dyDescent="0.2">
      <c r="A20" t="s">
        <v>308</v>
      </c>
      <c r="B20" t="s">
        <v>309</v>
      </c>
      <c r="C20" t="s">
        <v>310</v>
      </c>
      <c r="D20" t="s">
        <v>311</v>
      </c>
      <c r="E20" t="s">
        <v>267</v>
      </c>
    </row>
    <row r="21" spans="1:5" x14ac:dyDescent="0.2">
      <c r="A21">
        <v>24</v>
      </c>
      <c r="B21">
        <v>2</v>
      </c>
      <c r="C21">
        <v>0.185</v>
      </c>
      <c r="D21">
        <v>1.4</v>
      </c>
      <c r="E21">
        <f>((D21*C21)*A21)*B21</f>
        <v>12.432</v>
      </c>
    </row>
    <row r="22" spans="1:5" x14ac:dyDescent="0.2">
      <c r="A22">
        <v>24</v>
      </c>
      <c r="B22">
        <v>3</v>
      </c>
      <c r="C22">
        <v>0.185</v>
      </c>
      <c r="D22">
        <v>1.4</v>
      </c>
      <c r="E22">
        <f>((D22*C22)*A22)*B22</f>
        <v>18.648</v>
      </c>
    </row>
  </sheetData>
  <phoneticPr fontId="9" type="noConversion"/>
  <pageMargins left="0.7" right="0.7" top="0.75" bottom="0.75" header="0.3" footer="0.3"/>
  <pageSetup orientation="portrait" horizontalDpi="360" verticalDpi="36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14FC3-D4DE-407E-911C-36B7A6084258}">
  <sheetPr codeName="Hoja49"/>
  <dimension ref="A2:D10"/>
  <sheetViews>
    <sheetView workbookViewId="0">
      <selection activeCell="D578" sqref="D578"/>
    </sheetView>
  </sheetViews>
  <sheetFormatPr baseColWidth="10" defaultRowHeight="16" x14ac:dyDescent="0.2"/>
  <cols>
    <col min="1" max="1" width="28" style="5" bestFit="1" customWidth="1"/>
    <col min="2" max="4" width="11" style="5"/>
  </cols>
  <sheetData>
    <row r="2" spans="1:4" x14ac:dyDescent="0.2">
      <c r="A2" s="5" t="s">
        <v>279</v>
      </c>
      <c r="B2" s="5" t="s">
        <v>262</v>
      </c>
      <c r="C2" s="5" t="s">
        <v>263</v>
      </c>
      <c r="D2" s="5" t="s">
        <v>267</v>
      </c>
    </row>
    <row r="3" spans="1:4" x14ac:dyDescent="0.2">
      <c r="A3" s="5" t="s">
        <v>225</v>
      </c>
      <c r="B3" s="5">
        <f>'MUROS BLOQUE CONCRETO'!B3+'MUROS BLOQUE CONCRETO'!B4+'MUROS BLOQUE CONCRETO'!B5+'MUROS BLOQUE CONCRETO'!B6</f>
        <v>86.5</v>
      </c>
      <c r="C3" s="5">
        <v>3.8</v>
      </c>
      <c r="D3" s="5">
        <f>B3*C3</f>
        <v>328.7</v>
      </c>
    </row>
    <row r="4" spans="1:4" x14ac:dyDescent="0.2">
      <c r="A4" s="5" t="s">
        <v>228</v>
      </c>
      <c r="B4" s="5">
        <f>'MUROS BLOQUE CONCRETO'!B25+'MUROS BLOQUE CONCRETO'!B26+'MUROS BLOQUE CONCRETO'!B27+'MUROS BLOQUE CONCRETO'!B28+'MUROS BLOQUE CONCRETO'!B29+'MUROS BLOQUE CONCRETO'!B30+'MUROS BLOQUE CONCRETO'!B31+'MUROS BLOQUE CONCRETO'!B32+'MUROS BLOQUE CONCRETO'!B50</f>
        <v>118.05</v>
      </c>
      <c r="C4" s="5">
        <v>3.8</v>
      </c>
      <c r="D4" s="5">
        <f t="shared" ref="D4:D8" si="0">B4*C4</f>
        <v>448.59</v>
      </c>
    </row>
    <row r="5" spans="1:4" x14ac:dyDescent="0.2">
      <c r="A5" s="5" t="s">
        <v>236</v>
      </c>
      <c r="B5" s="5">
        <f>'MUROS BLOQUE CONCRETO'!B54+'MUROS BLOQUE CONCRETO'!B55+'MUROS BLOQUE CONCRETO'!B56+'MUROS BLOQUE CONCRETO'!B57+'MUROS BLOQUE CONCRETO'!B58+'MUROS BLOQUE CONCRETO'!B59+'MUROS BLOQUE CONCRETO'!B60+'MUROS BLOQUE CONCRETO'!B61+'MUROS BLOQUE CONCRETO'!B62+'MUROS BLOQUE CONCRETO'!B63</f>
        <v>87.24</v>
      </c>
      <c r="C5" s="5">
        <v>3.8</v>
      </c>
      <c r="D5" s="5">
        <f t="shared" si="0"/>
        <v>331.51199999999994</v>
      </c>
    </row>
    <row r="6" spans="1:4" x14ac:dyDescent="0.2">
      <c r="A6" s="5" t="s">
        <v>280</v>
      </c>
      <c r="B6" s="5">
        <f>'MUROS BLOQUE CONCRETO'!B69+'MUROS BLOQUE CONCRETO'!B70+'MUROS BLOQUE CONCRETO'!B71</f>
        <v>37.32</v>
      </c>
      <c r="C6" s="5">
        <v>0.9</v>
      </c>
      <c r="D6" s="5">
        <f t="shared" si="0"/>
        <v>33.588000000000001</v>
      </c>
    </row>
    <row r="7" spans="1:4" x14ac:dyDescent="0.2">
      <c r="A7" s="5" t="s">
        <v>281</v>
      </c>
      <c r="B7" s="5">
        <f>'MUROS BLOQUE CONCRETO'!B75+'MUROS BLOQUE CONCRETO'!B77</f>
        <v>42.9</v>
      </c>
      <c r="C7" s="5">
        <v>3.8</v>
      </c>
      <c r="D7" s="5">
        <f t="shared" si="0"/>
        <v>163.01999999999998</v>
      </c>
    </row>
    <row r="8" spans="1:4" x14ac:dyDescent="0.2">
      <c r="A8" s="5" t="s">
        <v>282</v>
      </c>
      <c r="B8" s="5">
        <f>'MUROS BLOQUE CONCRETO'!B76+'MUROS BLOQUE CONCRETO'!B78+'MUROS BLOQUE CONCRETO'!B79+'MUROS BLOQUE CONCRETO'!B80+'MUROS BLOQUE CONCRETO'!B81+'MUROS BLOQUE CONCRETO'!B82+'MUROS BLOQUE CONCRETO'!B83</f>
        <v>66.64</v>
      </c>
      <c r="C8" s="5">
        <v>0.9</v>
      </c>
      <c r="D8" s="5">
        <f t="shared" si="0"/>
        <v>59.975999999999999</v>
      </c>
    </row>
    <row r="10" spans="1:4" x14ac:dyDescent="0.2">
      <c r="C10" s="5" t="s">
        <v>267</v>
      </c>
      <c r="D10" s="5">
        <f>SUM(D3:D9)</f>
        <v>1365.386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EB1A7-3174-43CD-9FEC-DC1B226C36C9}">
  <sheetPr codeName="Hoja50"/>
  <dimension ref="A1:G103"/>
  <sheetViews>
    <sheetView topLeftCell="A7" workbookViewId="0">
      <selection activeCell="D578" sqref="D578"/>
    </sheetView>
  </sheetViews>
  <sheetFormatPr baseColWidth="10" defaultRowHeight="16" x14ac:dyDescent="0.2"/>
  <cols>
    <col min="1" max="1" width="25.6640625" bestFit="1" customWidth="1"/>
    <col min="2" max="2" width="5.83203125" style="5" bestFit="1" customWidth="1"/>
    <col min="3" max="3" width="11" style="5"/>
    <col min="4" max="4" width="11.33203125" style="5" bestFit="1" customWidth="1"/>
    <col min="5" max="7" width="11" style="5"/>
  </cols>
  <sheetData>
    <row r="1" spans="1:7" x14ac:dyDescent="0.2">
      <c r="A1" s="3" t="s">
        <v>225</v>
      </c>
      <c r="C1" s="4"/>
      <c r="D1" s="4"/>
      <c r="E1" s="4"/>
    </row>
    <row r="2" spans="1:7" x14ac:dyDescent="0.2">
      <c r="A2" t="s">
        <v>226</v>
      </c>
      <c r="B2" s="5" t="s">
        <v>262</v>
      </c>
      <c r="C2" s="5" t="s">
        <v>263</v>
      </c>
      <c r="E2" s="5" t="s">
        <v>267</v>
      </c>
      <c r="F2" s="5" t="s">
        <v>283</v>
      </c>
    </row>
    <row r="3" spans="1:7" x14ac:dyDescent="0.2">
      <c r="B3" s="5">
        <v>25.3</v>
      </c>
      <c r="C3" s="5">
        <v>3.8</v>
      </c>
      <c r="E3" s="5">
        <f>B3*C3</f>
        <v>96.14</v>
      </c>
      <c r="F3" s="5">
        <v>1</v>
      </c>
      <c r="G3" s="5">
        <f>E3*F3</f>
        <v>96.14</v>
      </c>
    </row>
    <row r="4" spans="1:7" x14ac:dyDescent="0.2">
      <c r="B4" s="5">
        <v>22</v>
      </c>
      <c r="C4" s="5">
        <v>3.8</v>
      </c>
      <c r="E4" s="5">
        <f t="shared" ref="E4:E21" si="0">B4*C4</f>
        <v>83.6</v>
      </c>
      <c r="F4" s="5">
        <v>1</v>
      </c>
      <c r="G4" s="5">
        <f t="shared" ref="G4:G67" si="1">E4*F4</f>
        <v>83.6</v>
      </c>
    </row>
    <row r="5" spans="1:7" x14ac:dyDescent="0.2">
      <c r="B5" s="5">
        <v>12.6</v>
      </c>
      <c r="C5" s="5">
        <v>3.8</v>
      </c>
      <c r="E5" s="5">
        <f t="shared" si="0"/>
        <v>47.879999999999995</v>
      </c>
      <c r="F5" s="5">
        <v>1</v>
      </c>
      <c r="G5" s="5">
        <f t="shared" si="1"/>
        <v>47.879999999999995</v>
      </c>
    </row>
    <row r="6" spans="1:7" x14ac:dyDescent="0.2">
      <c r="B6" s="5">
        <v>26.6</v>
      </c>
      <c r="C6" s="5">
        <v>3.8</v>
      </c>
      <c r="E6" s="5">
        <f t="shared" si="0"/>
        <v>101.08</v>
      </c>
      <c r="F6" s="5">
        <v>1</v>
      </c>
      <c r="G6" s="5">
        <f t="shared" si="1"/>
        <v>101.08</v>
      </c>
    </row>
    <row r="7" spans="1:7" x14ac:dyDescent="0.2">
      <c r="A7" t="s">
        <v>234</v>
      </c>
      <c r="G7" s="5">
        <f t="shared" si="1"/>
        <v>0</v>
      </c>
    </row>
    <row r="8" spans="1:7" x14ac:dyDescent="0.2">
      <c r="B8" s="5">
        <v>6.08</v>
      </c>
      <c r="C8" s="5">
        <v>3.8</v>
      </c>
      <c r="E8" s="5">
        <f t="shared" si="0"/>
        <v>23.103999999999999</v>
      </c>
      <c r="F8" s="5">
        <v>2</v>
      </c>
      <c r="G8" s="5">
        <f t="shared" si="1"/>
        <v>46.207999999999998</v>
      </c>
    </row>
    <row r="9" spans="1:7" x14ac:dyDescent="0.2">
      <c r="B9" s="5">
        <v>3.98</v>
      </c>
      <c r="C9" s="5">
        <v>3.8</v>
      </c>
      <c r="E9" s="5">
        <f t="shared" si="0"/>
        <v>15.123999999999999</v>
      </c>
      <c r="F9" s="5">
        <v>2</v>
      </c>
      <c r="G9" s="5">
        <f t="shared" si="1"/>
        <v>30.247999999999998</v>
      </c>
    </row>
    <row r="10" spans="1:7" x14ac:dyDescent="0.2">
      <c r="A10" t="s">
        <v>233</v>
      </c>
      <c r="G10" s="5">
        <f t="shared" si="1"/>
        <v>0</v>
      </c>
    </row>
    <row r="11" spans="1:7" x14ac:dyDescent="0.2">
      <c r="B11" s="5">
        <v>2.86</v>
      </c>
      <c r="C11" s="5">
        <v>3.8</v>
      </c>
      <c r="E11" s="5">
        <f t="shared" si="0"/>
        <v>10.867999999999999</v>
      </c>
      <c r="F11" s="5">
        <v>2</v>
      </c>
      <c r="G11" s="5">
        <f t="shared" si="1"/>
        <v>21.735999999999997</v>
      </c>
    </row>
    <row r="12" spans="1:7" x14ac:dyDescent="0.2">
      <c r="B12" s="5">
        <v>2.86</v>
      </c>
      <c r="C12" s="5">
        <v>3.8</v>
      </c>
      <c r="E12" s="5">
        <f t="shared" si="0"/>
        <v>10.867999999999999</v>
      </c>
      <c r="F12" s="5">
        <v>2</v>
      </c>
      <c r="G12" s="5">
        <f t="shared" si="1"/>
        <v>21.735999999999997</v>
      </c>
    </row>
    <row r="13" spans="1:7" x14ac:dyDescent="0.2">
      <c r="B13" s="5">
        <v>2.6</v>
      </c>
      <c r="C13" s="5">
        <v>3.8</v>
      </c>
      <c r="E13" s="5">
        <f t="shared" si="0"/>
        <v>9.879999999999999</v>
      </c>
      <c r="F13" s="5">
        <v>2</v>
      </c>
      <c r="G13" s="5">
        <f t="shared" si="1"/>
        <v>19.759999999999998</v>
      </c>
    </row>
    <row r="14" spans="1:7" x14ac:dyDescent="0.2">
      <c r="B14" s="5">
        <v>0.8</v>
      </c>
      <c r="C14" s="5">
        <v>3.8</v>
      </c>
      <c r="E14" s="5">
        <f t="shared" si="0"/>
        <v>3.04</v>
      </c>
      <c r="F14" s="5">
        <v>2</v>
      </c>
      <c r="G14" s="5">
        <f t="shared" si="1"/>
        <v>6.08</v>
      </c>
    </row>
    <row r="15" spans="1:7" x14ac:dyDescent="0.2">
      <c r="B15" s="5">
        <v>0.8</v>
      </c>
      <c r="C15" s="5">
        <v>3.8</v>
      </c>
      <c r="E15" s="5">
        <f t="shared" si="0"/>
        <v>3.04</v>
      </c>
      <c r="F15" s="5">
        <v>2</v>
      </c>
      <c r="G15" s="5">
        <f t="shared" si="1"/>
        <v>6.08</v>
      </c>
    </row>
    <row r="16" spans="1:7" x14ac:dyDescent="0.2">
      <c r="A16" t="s">
        <v>229</v>
      </c>
      <c r="G16" s="5">
        <f t="shared" si="1"/>
        <v>0</v>
      </c>
    </row>
    <row r="17" spans="1:7" x14ac:dyDescent="0.2">
      <c r="B17" s="5">
        <v>6.08</v>
      </c>
      <c r="C17" s="5">
        <v>3.8</v>
      </c>
      <c r="E17" s="5">
        <f t="shared" si="0"/>
        <v>23.103999999999999</v>
      </c>
      <c r="F17" s="5">
        <v>2</v>
      </c>
      <c r="G17" s="5">
        <f t="shared" si="1"/>
        <v>46.207999999999998</v>
      </c>
    </row>
    <row r="18" spans="1:7" x14ac:dyDescent="0.2">
      <c r="B18" s="5">
        <v>1.1000000000000001</v>
      </c>
      <c r="C18" s="5">
        <v>3.8</v>
      </c>
      <c r="E18" s="5">
        <f t="shared" si="0"/>
        <v>4.18</v>
      </c>
      <c r="F18" s="5">
        <v>2</v>
      </c>
      <c r="G18" s="5">
        <f t="shared" si="1"/>
        <v>8.36</v>
      </c>
    </row>
    <row r="19" spans="1:7" x14ac:dyDescent="0.2">
      <c r="B19" s="5">
        <v>1.2</v>
      </c>
      <c r="C19" s="5">
        <v>3.8</v>
      </c>
      <c r="E19" s="5">
        <f t="shared" si="0"/>
        <v>4.5599999999999996</v>
      </c>
      <c r="F19" s="5">
        <v>2</v>
      </c>
      <c r="G19" s="5">
        <f t="shared" si="1"/>
        <v>9.1199999999999992</v>
      </c>
    </row>
    <row r="20" spans="1:7" x14ac:dyDescent="0.2">
      <c r="B20" s="5">
        <v>2.92</v>
      </c>
      <c r="C20" s="5">
        <v>3.8</v>
      </c>
      <c r="E20" s="5">
        <f t="shared" si="0"/>
        <v>11.096</v>
      </c>
      <c r="F20" s="5">
        <v>2</v>
      </c>
      <c r="G20" s="5">
        <f t="shared" si="1"/>
        <v>22.192</v>
      </c>
    </row>
    <row r="21" spans="1:7" x14ac:dyDescent="0.2">
      <c r="B21" s="5">
        <v>-0.7</v>
      </c>
      <c r="C21" s="5">
        <v>2.5499999999999998</v>
      </c>
      <c r="E21" s="5">
        <f t="shared" si="0"/>
        <v>-1.7849999999999997</v>
      </c>
      <c r="F21" s="5">
        <v>1</v>
      </c>
      <c r="G21" s="5">
        <f t="shared" si="1"/>
        <v>-1.7849999999999997</v>
      </c>
    </row>
    <row r="22" spans="1:7" x14ac:dyDescent="0.2">
      <c r="G22" s="5">
        <f t="shared" si="1"/>
        <v>0</v>
      </c>
    </row>
    <row r="23" spans="1:7" x14ac:dyDescent="0.2">
      <c r="A23" s="3" t="s">
        <v>228</v>
      </c>
      <c r="C23" s="4"/>
      <c r="D23" s="4"/>
      <c r="E23" s="4"/>
      <c r="G23" s="5">
        <f t="shared" si="1"/>
        <v>0</v>
      </c>
    </row>
    <row r="24" spans="1:7" x14ac:dyDescent="0.2">
      <c r="A24" t="s">
        <v>226</v>
      </c>
      <c r="G24" s="5">
        <f t="shared" si="1"/>
        <v>0</v>
      </c>
    </row>
    <row r="25" spans="1:7" x14ac:dyDescent="0.2">
      <c r="B25" s="5">
        <v>25.3</v>
      </c>
      <c r="C25" s="5">
        <v>2.8</v>
      </c>
      <c r="E25" s="5">
        <f t="shared" ref="E25:E42" si="2">B25*C25</f>
        <v>70.84</v>
      </c>
      <c r="F25" s="5">
        <v>1</v>
      </c>
      <c r="G25" s="5">
        <f t="shared" si="1"/>
        <v>70.84</v>
      </c>
    </row>
    <row r="26" spans="1:7" x14ac:dyDescent="0.2">
      <c r="B26" s="5">
        <v>22</v>
      </c>
      <c r="C26" s="5">
        <v>2.8</v>
      </c>
      <c r="E26" s="5">
        <f t="shared" si="2"/>
        <v>61.599999999999994</v>
      </c>
      <c r="F26" s="5">
        <v>1</v>
      </c>
      <c r="G26" s="5">
        <f t="shared" si="1"/>
        <v>61.599999999999994</v>
      </c>
    </row>
    <row r="27" spans="1:7" x14ac:dyDescent="0.2">
      <c r="B27" s="5">
        <v>12.6</v>
      </c>
      <c r="C27" s="5">
        <v>2.8</v>
      </c>
      <c r="E27" s="5">
        <f t="shared" si="2"/>
        <v>35.279999999999994</v>
      </c>
      <c r="F27" s="5">
        <v>1</v>
      </c>
      <c r="G27" s="5">
        <f t="shared" si="1"/>
        <v>35.279999999999994</v>
      </c>
    </row>
    <row r="28" spans="1:7" x14ac:dyDescent="0.2">
      <c r="B28" s="5">
        <v>15.68</v>
      </c>
      <c r="C28" s="5">
        <v>2.8</v>
      </c>
      <c r="E28" s="5">
        <f t="shared" si="2"/>
        <v>43.903999999999996</v>
      </c>
      <c r="F28" s="5">
        <v>1</v>
      </c>
      <c r="G28" s="5">
        <f t="shared" si="1"/>
        <v>43.903999999999996</v>
      </c>
    </row>
    <row r="29" spans="1:7" x14ac:dyDescent="0.2">
      <c r="B29" s="5">
        <v>12.51</v>
      </c>
      <c r="C29" s="5">
        <v>2.8</v>
      </c>
      <c r="E29" s="5">
        <f t="shared" si="2"/>
        <v>35.027999999999999</v>
      </c>
      <c r="F29" s="5">
        <v>1</v>
      </c>
      <c r="G29" s="5">
        <f t="shared" si="1"/>
        <v>35.027999999999999</v>
      </c>
    </row>
    <row r="30" spans="1:7" x14ac:dyDescent="0.2">
      <c r="B30" s="5">
        <v>7.5</v>
      </c>
      <c r="C30" s="5">
        <v>2.8</v>
      </c>
      <c r="E30" s="5">
        <f t="shared" si="2"/>
        <v>21</v>
      </c>
      <c r="F30" s="5">
        <v>1</v>
      </c>
      <c r="G30" s="5">
        <f t="shared" si="1"/>
        <v>21</v>
      </c>
    </row>
    <row r="31" spans="1:7" x14ac:dyDescent="0.2">
      <c r="B31" s="5">
        <v>6.1</v>
      </c>
      <c r="C31" s="5">
        <v>2.8</v>
      </c>
      <c r="E31" s="5">
        <f t="shared" si="2"/>
        <v>17.079999999999998</v>
      </c>
      <c r="F31" s="5">
        <v>1</v>
      </c>
      <c r="G31" s="5">
        <f t="shared" si="1"/>
        <v>17.079999999999998</v>
      </c>
    </row>
    <row r="32" spans="1:7" x14ac:dyDescent="0.2">
      <c r="B32" s="5">
        <v>3.76</v>
      </c>
      <c r="C32" s="5">
        <v>2.8</v>
      </c>
      <c r="E32" s="5">
        <f t="shared" si="2"/>
        <v>10.527999999999999</v>
      </c>
      <c r="F32" s="5">
        <v>1</v>
      </c>
      <c r="G32" s="5">
        <f t="shared" si="1"/>
        <v>10.527999999999999</v>
      </c>
    </row>
    <row r="33" spans="1:7" x14ac:dyDescent="0.2">
      <c r="A33" t="s">
        <v>230</v>
      </c>
      <c r="G33" s="5">
        <f t="shared" si="1"/>
        <v>0</v>
      </c>
    </row>
    <row r="34" spans="1:7" x14ac:dyDescent="0.2">
      <c r="B34" s="5">
        <v>5.78</v>
      </c>
      <c r="C34" s="5">
        <v>3.8</v>
      </c>
      <c r="E34" s="5">
        <f t="shared" si="2"/>
        <v>21.963999999999999</v>
      </c>
      <c r="F34" s="5">
        <v>2</v>
      </c>
      <c r="G34" s="5">
        <f t="shared" si="1"/>
        <v>43.927999999999997</v>
      </c>
    </row>
    <row r="35" spans="1:7" x14ac:dyDescent="0.2">
      <c r="B35" s="5">
        <v>2.2400000000000002</v>
      </c>
      <c r="C35" s="5">
        <v>3.8</v>
      </c>
      <c r="E35" s="5">
        <f t="shared" si="2"/>
        <v>8.5120000000000005</v>
      </c>
      <c r="F35" s="5">
        <v>2</v>
      </c>
      <c r="G35" s="5">
        <f t="shared" si="1"/>
        <v>17.024000000000001</v>
      </c>
    </row>
    <row r="36" spans="1:7" x14ac:dyDescent="0.2">
      <c r="B36" s="5">
        <v>2.48</v>
      </c>
      <c r="C36" s="5">
        <v>3.8</v>
      </c>
      <c r="E36" s="5">
        <f t="shared" si="2"/>
        <v>9.4239999999999995</v>
      </c>
      <c r="F36" s="5">
        <v>2</v>
      </c>
      <c r="G36" s="5">
        <f t="shared" si="1"/>
        <v>18.847999999999999</v>
      </c>
    </row>
    <row r="37" spans="1:7" x14ac:dyDescent="0.2">
      <c r="B37" s="5">
        <v>3.6</v>
      </c>
      <c r="C37" s="5">
        <v>3.8</v>
      </c>
      <c r="E37" s="5">
        <f t="shared" si="2"/>
        <v>13.68</v>
      </c>
      <c r="F37" s="5">
        <v>2</v>
      </c>
      <c r="G37" s="5">
        <f t="shared" si="1"/>
        <v>27.36</v>
      </c>
    </row>
    <row r="38" spans="1:7" x14ac:dyDescent="0.2">
      <c r="B38" s="5">
        <v>1.8</v>
      </c>
      <c r="C38" s="5">
        <v>3.8</v>
      </c>
      <c r="E38" s="5">
        <f t="shared" si="2"/>
        <v>6.84</v>
      </c>
      <c r="F38" s="5">
        <v>2</v>
      </c>
      <c r="G38" s="5">
        <f t="shared" si="1"/>
        <v>13.68</v>
      </c>
    </row>
    <row r="39" spans="1:7" x14ac:dyDescent="0.2">
      <c r="B39" s="5">
        <v>-1.8</v>
      </c>
      <c r="C39" s="5">
        <v>2.5499999999999998</v>
      </c>
      <c r="E39" s="5">
        <f t="shared" si="2"/>
        <v>-4.59</v>
      </c>
      <c r="F39" s="5">
        <v>1</v>
      </c>
      <c r="G39" s="5">
        <f t="shared" si="1"/>
        <v>-4.59</v>
      </c>
    </row>
    <row r="40" spans="1:7" x14ac:dyDescent="0.2">
      <c r="A40" t="s">
        <v>231</v>
      </c>
      <c r="G40" s="5">
        <f t="shared" si="1"/>
        <v>0</v>
      </c>
    </row>
    <row r="41" spans="1:7" x14ac:dyDescent="0.2">
      <c r="B41" s="5">
        <v>1.4</v>
      </c>
      <c r="C41" s="5">
        <v>3.8</v>
      </c>
      <c r="E41" s="5">
        <f t="shared" si="2"/>
        <v>5.3199999999999994</v>
      </c>
      <c r="F41" s="5">
        <v>2</v>
      </c>
      <c r="G41" s="5">
        <f t="shared" si="1"/>
        <v>10.639999999999999</v>
      </c>
    </row>
    <row r="42" spans="1:7" x14ac:dyDescent="0.2">
      <c r="B42" s="5">
        <v>0.74</v>
      </c>
      <c r="C42" s="5">
        <v>3.8</v>
      </c>
      <c r="E42" s="5">
        <f t="shared" si="2"/>
        <v>2.8119999999999998</v>
      </c>
      <c r="F42" s="5">
        <v>2</v>
      </c>
      <c r="G42" s="5">
        <f t="shared" si="1"/>
        <v>5.6239999999999997</v>
      </c>
    </row>
    <row r="43" spans="1:7" x14ac:dyDescent="0.2">
      <c r="A43" t="s">
        <v>232</v>
      </c>
      <c r="G43" s="5">
        <f t="shared" si="1"/>
        <v>0</v>
      </c>
    </row>
    <row r="44" spans="1:7" x14ac:dyDescent="0.2">
      <c r="B44" s="5">
        <v>2.86</v>
      </c>
      <c r="C44" s="5">
        <v>3.8</v>
      </c>
      <c r="E44" s="5">
        <f t="shared" ref="E44:E50" si="3">B44*C44</f>
        <v>10.867999999999999</v>
      </c>
      <c r="F44" s="5">
        <v>2</v>
      </c>
      <c r="G44" s="5">
        <f t="shared" si="1"/>
        <v>21.735999999999997</v>
      </c>
    </row>
    <row r="45" spans="1:7" x14ac:dyDescent="0.2">
      <c r="B45" s="5">
        <v>2.86</v>
      </c>
      <c r="C45" s="5">
        <v>3.8</v>
      </c>
      <c r="E45" s="5">
        <f t="shared" si="3"/>
        <v>10.867999999999999</v>
      </c>
      <c r="F45" s="5">
        <v>2</v>
      </c>
      <c r="G45" s="5">
        <f t="shared" si="1"/>
        <v>21.735999999999997</v>
      </c>
    </row>
    <row r="46" spans="1:7" x14ac:dyDescent="0.2">
      <c r="B46" s="5">
        <v>2.6</v>
      </c>
      <c r="C46" s="5">
        <v>3.8</v>
      </c>
      <c r="E46" s="5">
        <f t="shared" si="3"/>
        <v>9.879999999999999</v>
      </c>
      <c r="F46" s="5">
        <v>2</v>
      </c>
      <c r="G46" s="5">
        <f t="shared" si="1"/>
        <v>19.759999999999998</v>
      </c>
    </row>
    <row r="47" spans="1:7" x14ac:dyDescent="0.2">
      <c r="B47" s="5">
        <v>0.8</v>
      </c>
      <c r="C47" s="5">
        <v>3.8</v>
      </c>
      <c r="E47" s="5">
        <f t="shared" si="3"/>
        <v>3.04</v>
      </c>
      <c r="F47" s="5">
        <v>2</v>
      </c>
      <c r="G47" s="5">
        <f t="shared" si="1"/>
        <v>6.08</v>
      </c>
    </row>
    <row r="48" spans="1:7" x14ac:dyDescent="0.2">
      <c r="B48" s="5">
        <v>0.8</v>
      </c>
      <c r="C48" s="5">
        <v>3.8</v>
      </c>
      <c r="E48" s="5">
        <f t="shared" si="3"/>
        <v>3.04</v>
      </c>
      <c r="F48" s="5">
        <v>2</v>
      </c>
      <c r="G48" s="5">
        <f t="shared" si="1"/>
        <v>6.08</v>
      </c>
    </row>
    <row r="49" spans="1:7" x14ac:dyDescent="0.2">
      <c r="A49" t="s">
        <v>235</v>
      </c>
      <c r="G49" s="5">
        <f t="shared" si="1"/>
        <v>0</v>
      </c>
    </row>
    <row r="50" spans="1:7" x14ac:dyDescent="0.2">
      <c r="B50" s="5">
        <v>12.6</v>
      </c>
      <c r="C50" s="5">
        <v>2.8</v>
      </c>
      <c r="E50" s="5">
        <f t="shared" si="3"/>
        <v>35.279999999999994</v>
      </c>
      <c r="F50" s="5">
        <v>1</v>
      </c>
      <c r="G50" s="5">
        <f t="shared" si="1"/>
        <v>35.279999999999994</v>
      </c>
    </row>
    <row r="51" spans="1:7" x14ac:dyDescent="0.2">
      <c r="G51" s="5">
        <f t="shared" si="1"/>
        <v>0</v>
      </c>
    </row>
    <row r="52" spans="1:7" x14ac:dyDescent="0.2">
      <c r="A52" s="3" t="s">
        <v>236</v>
      </c>
      <c r="C52" s="4"/>
      <c r="D52" s="4"/>
      <c r="E52" s="4"/>
      <c r="G52" s="5">
        <f t="shared" si="1"/>
        <v>0</v>
      </c>
    </row>
    <row r="53" spans="1:7" x14ac:dyDescent="0.2">
      <c r="A53" t="s">
        <v>237</v>
      </c>
      <c r="G53" s="5">
        <f t="shared" si="1"/>
        <v>0</v>
      </c>
    </row>
    <row r="54" spans="1:7" x14ac:dyDescent="0.2">
      <c r="B54" s="5">
        <v>25.3</v>
      </c>
      <c r="C54" s="5">
        <v>2.8</v>
      </c>
      <c r="E54" s="5">
        <f t="shared" ref="E54:E83" si="4">B54*C54</f>
        <v>70.84</v>
      </c>
      <c r="F54" s="5">
        <v>1</v>
      </c>
      <c r="G54" s="5">
        <f t="shared" si="1"/>
        <v>70.84</v>
      </c>
    </row>
    <row r="55" spans="1:7" x14ac:dyDescent="0.2">
      <c r="B55" s="5">
        <v>9.1999999999999993</v>
      </c>
      <c r="C55" s="5">
        <v>2.8</v>
      </c>
      <c r="E55" s="5">
        <f t="shared" si="4"/>
        <v>25.759999999999998</v>
      </c>
      <c r="F55" s="5">
        <v>1</v>
      </c>
      <c r="G55" s="5">
        <f t="shared" si="1"/>
        <v>25.759999999999998</v>
      </c>
    </row>
    <row r="56" spans="1:7" x14ac:dyDescent="0.2">
      <c r="B56" s="5">
        <v>4.9400000000000004</v>
      </c>
      <c r="C56" s="5">
        <v>2.8</v>
      </c>
      <c r="E56" s="5">
        <f t="shared" si="4"/>
        <v>13.832000000000001</v>
      </c>
      <c r="F56" s="5">
        <v>1</v>
      </c>
      <c r="G56" s="5">
        <f t="shared" si="1"/>
        <v>13.832000000000001</v>
      </c>
    </row>
    <row r="57" spans="1:7" x14ac:dyDescent="0.2">
      <c r="B57" s="5">
        <v>12.36</v>
      </c>
      <c r="C57" s="5">
        <v>2.8</v>
      </c>
      <c r="E57" s="5">
        <f t="shared" si="4"/>
        <v>34.607999999999997</v>
      </c>
      <c r="F57" s="5">
        <v>1</v>
      </c>
      <c r="G57" s="5">
        <f t="shared" si="1"/>
        <v>34.607999999999997</v>
      </c>
    </row>
    <row r="58" spans="1:7" x14ac:dyDescent="0.2">
      <c r="B58" s="5">
        <v>0.76</v>
      </c>
      <c r="C58" s="5">
        <v>2.8</v>
      </c>
      <c r="E58" s="5">
        <f t="shared" si="4"/>
        <v>2.1279999999999997</v>
      </c>
      <c r="F58" s="5">
        <v>1</v>
      </c>
      <c r="G58" s="5">
        <f t="shared" si="1"/>
        <v>2.1279999999999997</v>
      </c>
    </row>
    <row r="59" spans="1:7" x14ac:dyDescent="0.2">
      <c r="B59" s="5">
        <v>0.76</v>
      </c>
      <c r="C59" s="5">
        <v>2.8</v>
      </c>
      <c r="E59" s="5">
        <f t="shared" si="4"/>
        <v>2.1279999999999997</v>
      </c>
      <c r="F59" s="5">
        <v>1</v>
      </c>
      <c r="G59" s="5">
        <f t="shared" si="1"/>
        <v>2.1279999999999997</v>
      </c>
    </row>
    <row r="60" spans="1:7" x14ac:dyDescent="0.2">
      <c r="B60" s="5">
        <v>1.8</v>
      </c>
      <c r="C60" s="5">
        <v>2.8</v>
      </c>
      <c r="E60" s="5">
        <f t="shared" si="4"/>
        <v>5.04</v>
      </c>
      <c r="F60" s="5">
        <v>1</v>
      </c>
      <c r="G60" s="5">
        <f t="shared" si="1"/>
        <v>5.04</v>
      </c>
    </row>
    <row r="61" spans="1:7" x14ac:dyDescent="0.2">
      <c r="B61" s="5">
        <v>-1.4</v>
      </c>
      <c r="C61" s="5">
        <v>2.5499999999999998</v>
      </c>
      <c r="E61" s="5">
        <f t="shared" si="4"/>
        <v>-3.5699999999999994</v>
      </c>
      <c r="F61" s="5">
        <v>1</v>
      </c>
      <c r="G61" s="5">
        <f t="shared" si="1"/>
        <v>-3.5699999999999994</v>
      </c>
    </row>
    <row r="62" spans="1:7" x14ac:dyDescent="0.2">
      <c r="B62" s="5">
        <v>31.28</v>
      </c>
      <c r="C62" s="5">
        <v>2.8</v>
      </c>
      <c r="E62" s="5">
        <f t="shared" si="4"/>
        <v>87.584000000000003</v>
      </c>
      <c r="F62" s="5">
        <v>1</v>
      </c>
      <c r="G62" s="5">
        <f t="shared" si="1"/>
        <v>87.584000000000003</v>
      </c>
    </row>
    <row r="63" spans="1:7" x14ac:dyDescent="0.2">
      <c r="B63" s="5">
        <v>2.2400000000000002</v>
      </c>
      <c r="C63" s="5">
        <v>2.8</v>
      </c>
      <c r="E63" s="5">
        <f t="shared" si="4"/>
        <v>6.2720000000000002</v>
      </c>
      <c r="F63" s="5">
        <v>1</v>
      </c>
      <c r="G63" s="5">
        <f t="shared" si="1"/>
        <v>6.2720000000000002</v>
      </c>
    </row>
    <row r="64" spans="1:7" x14ac:dyDescent="0.2">
      <c r="A64" t="s">
        <v>230</v>
      </c>
      <c r="G64" s="5">
        <f t="shared" si="1"/>
        <v>0</v>
      </c>
    </row>
    <row r="65" spans="1:7" x14ac:dyDescent="0.2">
      <c r="B65" s="5">
        <v>13.6</v>
      </c>
      <c r="C65" s="5">
        <v>3.8</v>
      </c>
      <c r="E65" s="5">
        <f t="shared" si="4"/>
        <v>51.68</v>
      </c>
      <c r="F65" s="5">
        <v>2</v>
      </c>
      <c r="G65" s="5">
        <f t="shared" si="1"/>
        <v>103.36</v>
      </c>
    </row>
    <row r="66" spans="1:7" x14ac:dyDescent="0.2">
      <c r="B66" s="5">
        <v>-1.8</v>
      </c>
      <c r="C66" s="5">
        <v>3.8</v>
      </c>
      <c r="E66" s="5">
        <f t="shared" si="4"/>
        <v>-6.84</v>
      </c>
      <c r="F66" s="5">
        <v>1</v>
      </c>
      <c r="G66" s="5">
        <f t="shared" si="1"/>
        <v>-6.84</v>
      </c>
    </row>
    <row r="67" spans="1:7" x14ac:dyDescent="0.2">
      <c r="B67" s="5">
        <v>-1.4</v>
      </c>
      <c r="C67" s="5">
        <v>3.8</v>
      </c>
      <c r="E67" s="5">
        <f t="shared" si="4"/>
        <v>-5.3199999999999994</v>
      </c>
      <c r="F67" s="5">
        <v>1</v>
      </c>
      <c r="G67" s="5">
        <f t="shared" si="1"/>
        <v>-5.3199999999999994</v>
      </c>
    </row>
    <row r="68" spans="1:7" x14ac:dyDescent="0.2">
      <c r="A68" t="s">
        <v>238</v>
      </c>
      <c r="G68" s="5">
        <f t="shared" ref="G68:G96" si="5">E68*F68</f>
        <v>0</v>
      </c>
    </row>
    <row r="69" spans="1:7" x14ac:dyDescent="0.2">
      <c r="B69" s="5">
        <v>12.48</v>
      </c>
      <c r="C69" s="5">
        <v>0.9</v>
      </c>
      <c r="E69" s="5">
        <f t="shared" si="4"/>
        <v>11.232000000000001</v>
      </c>
      <c r="F69" s="5">
        <v>1</v>
      </c>
      <c r="G69" s="5">
        <f t="shared" si="5"/>
        <v>11.232000000000001</v>
      </c>
    </row>
    <row r="70" spans="1:7" x14ac:dyDescent="0.2">
      <c r="B70" s="5">
        <v>12.48</v>
      </c>
      <c r="C70" s="5">
        <v>0.9</v>
      </c>
      <c r="E70" s="5">
        <f t="shared" si="4"/>
        <v>11.232000000000001</v>
      </c>
      <c r="F70" s="5">
        <v>1</v>
      </c>
      <c r="G70" s="5">
        <f t="shared" si="5"/>
        <v>11.232000000000001</v>
      </c>
    </row>
    <row r="71" spans="1:7" x14ac:dyDescent="0.2">
      <c r="B71" s="5">
        <v>12.36</v>
      </c>
      <c r="C71" s="5">
        <v>0.9</v>
      </c>
      <c r="E71" s="5">
        <f t="shared" si="4"/>
        <v>11.124000000000001</v>
      </c>
      <c r="F71" s="5">
        <v>1</v>
      </c>
      <c r="G71" s="5">
        <f t="shared" si="5"/>
        <v>11.124000000000001</v>
      </c>
    </row>
    <row r="72" spans="1:7" x14ac:dyDescent="0.2">
      <c r="G72" s="5">
        <f t="shared" si="5"/>
        <v>0</v>
      </c>
    </row>
    <row r="73" spans="1:7" x14ac:dyDescent="0.2">
      <c r="A73" s="3" t="s">
        <v>239</v>
      </c>
      <c r="C73" s="4"/>
      <c r="D73" s="4"/>
      <c r="E73" s="4"/>
      <c r="G73" s="5">
        <f t="shared" si="5"/>
        <v>0</v>
      </c>
    </row>
    <row r="74" spans="1:7" x14ac:dyDescent="0.2">
      <c r="A74" t="s">
        <v>240</v>
      </c>
      <c r="G74" s="5">
        <f t="shared" si="5"/>
        <v>0</v>
      </c>
    </row>
    <row r="75" spans="1:7" x14ac:dyDescent="0.2">
      <c r="B75" s="5">
        <v>18.45</v>
      </c>
      <c r="C75" s="5">
        <v>3.8</v>
      </c>
      <c r="E75" s="5">
        <f t="shared" si="4"/>
        <v>70.11</v>
      </c>
      <c r="F75" s="5">
        <v>1</v>
      </c>
      <c r="G75" s="5">
        <f t="shared" si="5"/>
        <v>70.11</v>
      </c>
    </row>
    <row r="76" spans="1:7" x14ac:dyDescent="0.2">
      <c r="B76" s="5">
        <v>0.84</v>
      </c>
      <c r="C76" s="5">
        <v>0.9</v>
      </c>
      <c r="E76" s="5">
        <f t="shared" si="4"/>
        <v>0.75600000000000001</v>
      </c>
      <c r="F76" s="5">
        <v>1</v>
      </c>
      <c r="G76" s="5">
        <f t="shared" si="5"/>
        <v>0.75600000000000001</v>
      </c>
    </row>
    <row r="77" spans="1:7" x14ac:dyDescent="0.2">
      <c r="B77" s="5">
        <v>24.45</v>
      </c>
      <c r="C77" s="5">
        <v>3.8</v>
      </c>
      <c r="E77" s="5">
        <f t="shared" si="4"/>
        <v>92.91</v>
      </c>
      <c r="F77" s="5">
        <v>1</v>
      </c>
      <c r="G77" s="5">
        <f t="shared" si="5"/>
        <v>92.91</v>
      </c>
    </row>
    <row r="78" spans="1:7" x14ac:dyDescent="0.2">
      <c r="B78" s="5">
        <v>9.6</v>
      </c>
      <c r="C78" s="5">
        <v>0.9</v>
      </c>
      <c r="E78" s="5">
        <f t="shared" si="4"/>
        <v>8.64</v>
      </c>
      <c r="F78" s="5">
        <v>1</v>
      </c>
      <c r="G78" s="5">
        <f t="shared" si="5"/>
        <v>8.64</v>
      </c>
    </row>
    <row r="79" spans="1:7" x14ac:dyDescent="0.2">
      <c r="B79" s="5">
        <v>12.6</v>
      </c>
      <c r="C79" s="5">
        <v>0.9</v>
      </c>
      <c r="E79" s="5">
        <f t="shared" si="4"/>
        <v>11.34</v>
      </c>
      <c r="F79" s="5">
        <v>1</v>
      </c>
      <c r="G79" s="5">
        <f t="shared" si="5"/>
        <v>11.34</v>
      </c>
    </row>
    <row r="80" spans="1:7" x14ac:dyDescent="0.2">
      <c r="B80" s="5">
        <v>3.28</v>
      </c>
      <c r="C80" s="5">
        <v>0.9</v>
      </c>
      <c r="E80" s="5">
        <f t="shared" si="4"/>
        <v>2.952</v>
      </c>
      <c r="F80" s="5">
        <v>1</v>
      </c>
      <c r="G80" s="5">
        <f t="shared" si="5"/>
        <v>2.952</v>
      </c>
    </row>
    <row r="81" spans="1:7" x14ac:dyDescent="0.2">
      <c r="B81" s="5">
        <v>31</v>
      </c>
      <c r="C81" s="5">
        <v>0.9</v>
      </c>
      <c r="E81" s="5">
        <f t="shared" si="4"/>
        <v>27.900000000000002</v>
      </c>
      <c r="F81" s="5">
        <v>1</v>
      </c>
      <c r="G81" s="5">
        <f t="shared" si="5"/>
        <v>27.900000000000002</v>
      </c>
    </row>
    <row r="82" spans="1:7" x14ac:dyDescent="0.2">
      <c r="B82" s="5">
        <v>5.8</v>
      </c>
      <c r="C82" s="5">
        <v>0.9</v>
      </c>
      <c r="E82" s="5">
        <f t="shared" si="4"/>
        <v>5.22</v>
      </c>
      <c r="F82" s="5">
        <v>1</v>
      </c>
      <c r="G82" s="5">
        <f t="shared" si="5"/>
        <v>5.22</v>
      </c>
    </row>
    <row r="83" spans="1:7" x14ac:dyDescent="0.2">
      <c r="B83" s="5">
        <v>3.52</v>
      </c>
      <c r="C83" s="5">
        <v>0.9</v>
      </c>
      <c r="E83" s="5">
        <f t="shared" si="4"/>
        <v>3.1680000000000001</v>
      </c>
      <c r="F83" s="5">
        <v>1</v>
      </c>
      <c r="G83" s="5">
        <f t="shared" si="5"/>
        <v>3.1680000000000001</v>
      </c>
    </row>
    <row r="84" spans="1:7" x14ac:dyDescent="0.2">
      <c r="G84" s="5">
        <f t="shared" si="5"/>
        <v>0</v>
      </c>
    </row>
    <row r="85" spans="1:7" x14ac:dyDescent="0.2">
      <c r="A85" s="3" t="s">
        <v>241</v>
      </c>
      <c r="C85" s="4"/>
      <c r="D85" s="4"/>
      <c r="E85" s="4"/>
      <c r="G85" s="5">
        <f t="shared" si="5"/>
        <v>0</v>
      </c>
    </row>
    <row r="86" spans="1:7" x14ac:dyDescent="0.2">
      <c r="B86" s="5">
        <v>4.38</v>
      </c>
      <c r="C86" s="5">
        <v>3.8</v>
      </c>
      <c r="E86" s="5">
        <f t="shared" ref="E86:E91" si="6">B86*C86</f>
        <v>16.643999999999998</v>
      </c>
      <c r="F86" s="5">
        <v>2</v>
      </c>
      <c r="G86" s="5">
        <f t="shared" si="5"/>
        <v>33.287999999999997</v>
      </c>
    </row>
    <row r="87" spans="1:7" x14ac:dyDescent="0.2">
      <c r="B87" s="5">
        <v>2.86</v>
      </c>
      <c r="C87" s="5">
        <v>3.8</v>
      </c>
      <c r="E87" s="5">
        <f t="shared" si="6"/>
        <v>10.867999999999999</v>
      </c>
      <c r="F87" s="5">
        <v>2</v>
      </c>
      <c r="G87" s="5">
        <f t="shared" si="5"/>
        <v>21.735999999999997</v>
      </c>
    </row>
    <row r="88" spans="1:7" x14ac:dyDescent="0.2">
      <c r="B88" s="5">
        <v>2.86</v>
      </c>
      <c r="C88" s="5">
        <v>3.8</v>
      </c>
      <c r="E88" s="5">
        <f t="shared" si="6"/>
        <v>10.867999999999999</v>
      </c>
      <c r="F88" s="5">
        <v>2</v>
      </c>
      <c r="G88" s="5">
        <f t="shared" si="5"/>
        <v>21.735999999999997</v>
      </c>
    </row>
    <row r="89" spans="1:7" x14ac:dyDescent="0.2">
      <c r="B89" s="5">
        <v>2.6</v>
      </c>
      <c r="C89" s="5">
        <v>3.8</v>
      </c>
      <c r="E89" s="5">
        <f t="shared" si="6"/>
        <v>9.879999999999999</v>
      </c>
      <c r="F89" s="5">
        <v>2</v>
      </c>
      <c r="G89" s="5">
        <f t="shared" si="5"/>
        <v>19.759999999999998</v>
      </c>
    </row>
    <row r="90" spans="1:7" x14ac:dyDescent="0.2">
      <c r="B90" s="5">
        <v>0.8</v>
      </c>
      <c r="C90" s="5">
        <v>3.8</v>
      </c>
      <c r="E90" s="5">
        <f t="shared" si="6"/>
        <v>3.04</v>
      </c>
      <c r="F90" s="5">
        <v>2</v>
      </c>
      <c r="G90" s="5">
        <f t="shared" si="5"/>
        <v>6.08</v>
      </c>
    </row>
    <row r="91" spans="1:7" x14ac:dyDescent="0.2">
      <c r="B91" s="5">
        <v>0.8</v>
      </c>
      <c r="C91" s="5">
        <v>3.8</v>
      </c>
      <c r="E91" s="5">
        <f t="shared" si="6"/>
        <v>3.04</v>
      </c>
      <c r="F91" s="5">
        <v>2</v>
      </c>
      <c r="G91" s="5">
        <f t="shared" si="5"/>
        <v>6.08</v>
      </c>
    </row>
    <row r="92" spans="1:7" x14ac:dyDescent="0.2">
      <c r="G92" s="5">
        <f t="shared" si="5"/>
        <v>0</v>
      </c>
    </row>
    <row r="93" spans="1:7" x14ac:dyDescent="0.2">
      <c r="A93" s="3" t="s">
        <v>242</v>
      </c>
      <c r="C93" s="4"/>
      <c r="D93" s="4" t="s">
        <v>243</v>
      </c>
      <c r="E93" s="4"/>
      <c r="G93" s="5">
        <f t="shared" si="5"/>
        <v>0</v>
      </c>
    </row>
    <row r="94" spans="1:7" x14ac:dyDescent="0.2">
      <c r="B94" s="5">
        <v>6.35</v>
      </c>
      <c r="C94" s="5">
        <v>1.4</v>
      </c>
      <c r="D94" s="5">
        <v>3</v>
      </c>
      <c r="E94" s="5">
        <f>(B94*C94)*D94</f>
        <v>26.669999999999995</v>
      </c>
      <c r="F94" s="5">
        <v>1</v>
      </c>
      <c r="G94" s="5">
        <f t="shared" si="5"/>
        <v>26.669999999999995</v>
      </c>
    </row>
    <row r="95" spans="1:7" x14ac:dyDescent="0.2">
      <c r="B95" s="5">
        <v>1.08</v>
      </c>
      <c r="C95" s="5">
        <v>1.4</v>
      </c>
      <c r="D95" s="5">
        <v>3</v>
      </c>
      <c r="E95" s="5">
        <f t="shared" ref="E95:E96" si="7">(B95*C95)*D95</f>
        <v>4.5359999999999996</v>
      </c>
      <c r="F95" s="5">
        <v>1</v>
      </c>
      <c r="G95" s="5">
        <f t="shared" si="5"/>
        <v>4.5359999999999996</v>
      </c>
    </row>
    <row r="96" spans="1:7" x14ac:dyDescent="0.2">
      <c r="B96" s="5">
        <v>6.21</v>
      </c>
      <c r="C96" s="5">
        <v>1.4</v>
      </c>
      <c r="D96" s="5">
        <v>3</v>
      </c>
      <c r="E96" s="5">
        <f t="shared" si="7"/>
        <v>26.081999999999997</v>
      </c>
      <c r="F96" s="5">
        <v>1</v>
      </c>
      <c r="G96" s="5">
        <f t="shared" si="5"/>
        <v>26.081999999999997</v>
      </c>
    </row>
    <row r="98" spans="6:7" x14ac:dyDescent="0.2">
      <c r="F98" s="5" t="s">
        <v>267</v>
      </c>
      <c r="G98" s="5">
        <f>SUM(G3:G97)</f>
        <v>1861.4630000000002</v>
      </c>
    </row>
    <row r="102" spans="6:7" x14ac:dyDescent="0.2">
      <c r="F102" s="2"/>
    </row>
    <row r="103" spans="6:7" x14ac:dyDescent="0.2">
      <c r="F103" s="2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4D972-433F-47AF-A7A6-C8C9ABF31131}">
  <sheetPr codeName="Hoja51"/>
  <dimension ref="A1:H104"/>
  <sheetViews>
    <sheetView workbookViewId="0">
      <selection activeCell="D578" sqref="D578"/>
    </sheetView>
  </sheetViews>
  <sheetFormatPr baseColWidth="10" defaultRowHeight="16" x14ac:dyDescent="0.2"/>
  <cols>
    <col min="1" max="1" width="25.6640625" bestFit="1" customWidth="1"/>
    <col min="2" max="2" width="5.83203125" bestFit="1" customWidth="1"/>
    <col min="4" max="4" width="11.33203125" style="5" bestFit="1" customWidth="1"/>
  </cols>
  <sheetData>
    <row r="1" spans="1:5" x14ac:dyDescent="0.2">
      <c r="A1" s="3" t="s">
        <v>225</v>
      </c>
      <c r="C1" s="3"/>
      <c r="D1" s="4"/>
      <c r="E1" s="3"/>
    </row>
    <row r="2" spans="1:5" x14ac:dyDescent="0.2">
      <c r="A2" t="s">
        <v>226</v>
      </c>
    </row>
    <row r="3" spans="1:5" x14ac:dyDescent="0.2">
      <c r="B3">
        <v>25.3</v>
      </c>
      <c r="C3">
        <v>3.8</v>
      </c>
      <c r="E3">
        <f>B3*C3</f>
        <v>96.14</v>
      </c>
    </row>
    <row r="4" spans="1:5" x14ac:dyDescent="0.2">
      <c r="B4">
        <v>22</v>
      </c>
      <c r="C4">
        <v>3.8</v>
      </c>
      <c r="E4">
        <f t="shared" ref="E4:E21" si="0">B4*C4</f>
        <v>83.6</v>
      </c>
    </row>
    <row r="5" spans="1:5" x14ac:dyDescent="0.2">
      <c r="B5">
        <v>12.6</v>
      </c>
      <c r="C5">
        <v>3.8</v>
      </c>
      <c r="E5">
        <f t="shared" si="0"/>
        <v>47.879999999999995</v>
      </c>
    </row>
    <row r="6" spans="1:5" x14ac:dyDescent="0.2">
      <c r="B6">
        <v>26.6</v>
      </c>
      <c r="C6">
        <v>3.8</v>
      </c>
      <c r="E6">
        <f t="shared" si="0"/>
        <v>101.08</v>
      </c>
    </row>
    <row r="7" spans="1:5" x14ac:dyDescent="0.2">
      <c r="A7" t="s">
        <v>234</v>
      </c>
    </row>
    <row r="8" spans="1:5" x14ac:dyDescent="0.2">
      <c r="B8">
        <v>6.08</v>
      </c>
      <c r="C8">
        <v>3.8</v>
      </c>
      <c r="E8">
        <f t="shared" si="0"/>
        <v>23.103999999999999</v>
      </c>
    </row>
    <row r="9" spans="1:5" x14ac:dyDescent="0.2">
      <c r="B9">
        <v>3.98</v>
      </c>
      <c r="C9">
        <v>3.8</v>
      </c>
      <c r="E9">
        <f t="shared" si="0"/>
        <v>15.123999999999999</v>
      </c>
    </row>
    <row r="10" spans="1:5" x14ac:dyDescent="0.2">
      <c r="A10" t="s">
        <v>233</v>
      </c>
    </row>
    <row r="11" spans="1:5" x14ac:dyDescent="0.2">
      <c r="B11">
        <v>2.86</v>
      </c>
      <c r="C11">
        <v>3.8</v>
      </c>
      <c r="E11">
        <f t="shared" si="0"/>
        <v>10.867999999999999</v>
      </c>
    </row>
    <row r="12" spans="1:5" x14ac:dyDescent="0.2">
      <c r="B12">
        <v>2.86</v>
      </c>
      <c r="C12">
        <v>3.8</v>
      </c>
      <c r="E12">
        <f t="shared" si="0"/>
        <v>10.867999999999999</v>
      </c>
    </row>
    <row r="13" spans="1:5" x14ac:dyDescent="0.2">
      <c r="B13">
        <v>2.6</v>
      </c>
      <c r="C13">
        <v>3.8</v>
      </c>
      <c r="E13">
        <f t="shared" si="0"/>
        <v>9.879999999999999</v>
      </c>
    </row>
    <row r="14" spans="1:5" x14ac:dyDescent="0.2">
      <c r="B14">
        <v>0.8</v>
      </c>
      <c r="C14">
        <v>3.8</v>
      </c>
      <c r="E14">
        <f t="shared" si="0"/>
        <v>3.04</v>
      </c>
    </row>
    <row r="15" spans="1:5" x14ac:dyDescent="0.2">
      <c r="B15">
        <v>0.8</v>
      </c>
      <c r="C15">
        <v>3.8</v>
      </c>
      <c r="E15">
        <f t="shared" si="0"/>
        <v>3.04</v>
      </c>
    </row>
    <row r="16" spans="1:5" x14ac:dyDescent="0.2">
      <c r="A16" t="s">
        <v>229</v>
      </c>
    </row>
    <row r="17" spans="1:6" x14ac:dyDescent="0.2">
      <c r="B17">
        <v>6.08</v>
      </c>
      <c r="C17">
        <v>3.8</v>
      </c>
      <c r="E17">
        <f t="shared" si="0"/>
        <v>23.103999999999999</v>
      </c>
    </row>
    <row r="18" spans="1:6" x14ac:dyDescent="0.2">
      <c r="B18">
        <v>1.1000000000000001</v>
      </c>
      <c r="C18">
        <v>3.8</v>
      </c>
      <c r="E18">
        <f t="shared" si="0"/>
        <v>4.18</v>
      </c>
    </row>
    <row r="19" spans="1:6" x14ac:dyDescent="0.2">
      <c r="B19">
        <v>1.2</v>
      </c>
      <c r="C19">
        <v>3.8</v>
      </c>
      <c r="E19">
        <f t="shared" si="0"/>
        <v>4.5599999999999996</v>
      </c>
    </row>
    <row r="20" spans="1:6" x14ac:dyDescent="0.2">
      <c r="B20">
        <v>2.92</v>
      </c>
      <c r="C20">
        <v>3.8</v>
      </c>
      <c r="E20">
        <f t="shared" si="0"/>
        <v>11.096</v>
      </c>
    </row>
    <row r="21" spans="1:6" x14ac:dyDescent="0.2">
      <c r="B21">
        <v>-0.7</v>
      </c>
      <c r="C21">
        <v>2.5499999999999998</v>
      </c>
      <c r="E21">
        <f t="shared" si="0"/>
        <v>-1.7849999999999997</v>
      </c>
      <c r="F21" t="s">
        <v>227</v>
      </c>
    </row>
    <row r="23" spans="1:6" x14ac:dyDescent="0.2">
      <c r="A23" s="3" t="s">
        <v>228</v>
      </c>
      <c r="C23" s="3"/>
      <c r="D23" s="4"/>
      <c r="E23" s="3"/>
    </row>
    <row r="24" spans="1:6" x14ac:dyDescent="0.2">
      <c r="A24" t="s">
        <v>226</v>
      </c>
    </row>
    <row r="25" spans="1:6" x14ac:dyDescent="0.2">
      <c r="B25">
        <v>25.3</v>
      </c>
      <c r="C25">
        <v>3.8</v>
      </c>
      <c r="E25">
        <f t="shared" ref="E25:E42" si="1">B25*C25</f>
        <v>96.14</v>
      </c>
    </row>
    <row r="26" spans="1:6" x14ac:dyDescent="0.2">
      <c r="B26">
        <v>22</v>
      </c>
      <c r="C26">
        <v>3.8</v>
      </c>
      <c r="E26">
        <f t="shared" si="1"/>
        <v>83.6</v>
      </c>
    </row>
    <row r="27" spans="1:6" x14ac:dyDescent="0.2">
      <c r="B27">
        <v>12.6</v>
      </c>
      <c r="C27">
        <v>3.8</v>
      </c>
      <c r="E27">
        <f t="shared" si="1"/>
        <v>47.879999999999995</v>
      </c>
    </row>
    <row r="28" spans="1:6" x14ac:dyDescent="0.2">
      <c r="B28">
        <v>15.68</v>
      </c>
      <c r="C28">
        <v>3.8</v>
      </c>
      <c r="E28">
        <f t="shared" si="1"/>
        <v>59.583999999999996</v>
      </c>
    </row>
    <row r="29" spans="1:6" x14ac:dyDescent="0.2">
      <c r="B29">
        <v>12.51</v>
      </c>
      <c r="C29">
        <v>3.8</v>
      </c>
      <c r="E29">
        <f t="shared" si="1"/>
        <v>47.537999999999997</v>
      </c>
    </row>
    <row r="30" spans="1:6" x14ac:dyDescent="0.2">
      <c r="B30">
        <v>7.5</v>
      </c>
      <c r="C30">
        <v>3.8</v>
      </c>
      <c r="E30">
        <f t="shared" si="1"/>
        <v>28.5</v>
      </c>
    </row>
    <row r="31" spans="1:6" x14ac:dyDescent="0.2">
      <c r="B31">
        <v>6.1</v>
      </c>
      <c r="C31">
        <v>3.8</v>
      </c>
      <c r="E31">
        <f t="shared" si="1"/>
        <v>23.179999999999996</v>
      </c>
    </row>
    <row r="32" spans="1:6" x14ac:dyDescent="0.2">
      <c r="B32">
        <v>3.76</v>
      </c>
      <c r="C32">
        <v>3.8</v>
      </c>
      <c r="E32">
        <f t="shared" si="1"/>
        <v>14.287999999999998</v>
      </c>
    </row>
    <row r="33" spans="1:5" x14ac:dyDescent="0.2">
      <c r="A33" t="s">
        <v>230</v>
      </c>
    </row>
    <row r="34" spans="1:5" x14ac:dyDescent="0.2">
      <c r="B34">
        <v>5.78</v>
      </c>
      <c r="C34">
        <v>3.8</v>
      </c>
      <c r="E34">
        <f t="shared" si="1"/>
        <v>21.963999999999999</v>
      </c>
    </row>
    <row r="35" spans="1:5" x14ac:dyDescent="0.2">
      <c r="B35">
        <v>2.2400000000000002</v>
      </c>
      <c r="C35">
        <v>3.8</v>
      </c>
      <c r="E35">
        <f t="shared" si="1"/>
        <v>8.5120000000000005</v>
      </c>
    </row>
    <row r="36" spans="1:5" x14ac:dyDescent="0.2">
      <c r="B36">
        <v>2.48</v>
      </c>
      <c r="C36">
        <v>3.8</v>
      </c>
      <c r="E36">
        <f t="shared" si="1"/>
        <v>9.4239999999999995</v>
      </c>
    </row>
    <row r="37" spans="1:5" x14ac:dyDescent="0.2">
      <c r="B37">
        <v>3.6</v>
      </c>
      <c r="C37">
        <v>3.8</v>
      </c>
      <c r="E37">
        <f t="shared" si="1"/>
        <v>13.68</v>
      </c>
    </row>
    <row r="38" spans="1:5" x14ac:dyDescent="0.2">
      <c r="B38">
        <v>1.8</v>
      </c>
      <c r="C38">
        <v>3.8</v>
      </c>
      <c r="E38">
        <f t="shared" si="1"/>
        <v>6.84</v>
      </c>
    </row>
    <row r="39" spans="1:5" x14ac:dyDescent="0.2">
      <c r="B39">
        <v>-1.8</v>
      </c>
      <c r="C39">
        <v>2.5499999999999998</v>
      </c>
      <c r="E39">
        <f t="shared" si="1"/>
        <v>-4.59</v>
      </c>
    </row>
    <row r="40" spans="1:5" x14ac:dyDescent="0.2">
      <c r="A40" t="s">
        <v>231</v>
      </c>
    </row>
    <row r="41" spans="1:5" x14ac:dyDescent="0.2">
      <c r="B41">
        <v>1.4</v>
      </c>
      <c r="C41">
        <v>3.8</v>
      </c>
      <c r="E41">
        <f t="shared" si="1"/>
        <v>5.3199999999999994</v>
      </c>
    </row>
    <row r="42" spans="1:5" x14ac:dyDescent="0.2">
      <c r="B42">
        <v>0.74</v>
      </c>
      <c r="C42">
        <v>3.8</v>
      </c>
      <c r="E42">
        <f t="shared" si="1"/>
        <v>2.8119999999999998</v>
      </c>
    </row>
    <row r="43" spans="1:5" x14ac:dyDescent="0.2">
      <c r="A43" t="s">
        <v>232</v>
      </c>
    </row>
    <row r="44" spans="1:5" x14ac:dyDescent="0.2">
      <c r="B44">
        <v>2.86</v>
      </c>
      <c r="C44">
        <v>3.8</v>
      </c>
      <c r="E44">
        <f t="shared" ref="E44:E50" si="2">B44*C44</f>
        <v>10.867999999999999</v>
      </c>
    </row>
    <row r="45" spans="1:5" x14ac:dyDescent="0.2">
      <c r="B45">
        <v>2.86</v>
      </c>
      <c r="C45">
        <v>3.8</v>
      </c>
      <c r="E45">
        <f t="shared" si="2"/>
        <v>10.867999999999999</v>
      </c>
    </row>
    <row r="46" spans="1:5" x14ac:dyDescent="0.2">
      <c r="B46">
        <v>2.6</v>
      </c>
      <c r="C46">
        <v>3.8</v>
      </c>
      <c r="E46">
        <f t="shared" si="2"/>
        <v>9.879999999999999</v>
      </c>
    </row>
    <row r="47" spans="1:5" x14ac:dyDescent="0.2">
      <c r="B47">
        <v>0.8</v>
      </c>
      <c r="C47">
        <v>3.8</v>
      </c>
      <c r="E47">
        <f t="shared" si="2"/>
        <v>3.04</v>
      </c>
    </row>
    <row r="48" spans="1:5" x14ac:dyDescent="0.2">
      <c r="B48">
        <v>0.8</v>
      </c>
      <c r="C48">
        <v>3.8</v>
      </c>
      <c r="E48">
        <f t="shared" si="2"/>
        <v>3.04</v>
      </c>
    </row>
    <row r="49" spans="1:5" x14ac:dyDescent="0.2">
      <c r="A49" t="s">
        <v>235</v>
      </c>
    </row>
    <row r="50" spans="1:5" x14ac:dyDescent="0.2">
      <c r="B50">
        <v>12.6</v>
      </c>
      <c r="C50">
        <v>3.8</v>
      </c>
      <c r="E50">
        <f t="shared" si="2"/>
        <v>47.879999999999995</v>
      </c>
    </row>
    <row r="52" spans="1:5" x14ac:dyDescent="0.2">
      <c r="A52" s="3" t="s">
        <v>236</v>
      </c>
      <c r="C52" s="3"/>
      <c r="D52" s="4"/>
      <c r="E52" s="3"/>
    </row>
    <row r="53" spans="1:5" x14ac:dyDescent="0.2">
      <c r="A53" t="s">
        <v>237</v>
      </c>
    </row>
    <row r="54" spans="1:5" x14ac:dyDescent="0.2">
      <c r="B54">
        <v>25.3</v>
      </c>
      <c r="C54">
        <v>3.8</v>
      </c>
      <c r="E54">
        <f t="shared" ref="E54:E83" si="3">B54*C54</f>
        <v>96.14</v>
      </c>
    </row>
    <row r="55" spans="1:5" x14ac:dyDescent="0.2">
      <c r="B55">
        <v>9.1999999999999993</v>
      </c>
      <c r="C55">
        <v>3.8</v>
      </c>
      <c r="E55">
        <f t="shared" si="3"/>
        <v>34.959999999999994</v>
      </c>
    </row>
    <row r="56" spans="1:5" x14ac:dyDescent="0.2">
      <c r="B56">
        <v>4.9400000000000004</v>
      </c>
      <c r="C56">
        <v>3.8</v>
      </c>
      <c r="E56">
        <f t="shared" si="3"/>
        <v>18.772000000000002</v>
      </c>
    </row>
    <row r="57" spans="1:5" x14ac:dyDescent="0.2">
      <c r="B57">
        <v>12.36</v>
      </c>
      <c r="C57">
        <v>3.8</v>
      </c>
      <c r="E57">
        <f t="shared" si="3"/>
        <v>46.967999999999996</v>
      </c>
    </row>
    <row r="58" spans="1:5" x14ac:dyDescent="0.2">
      <c r="B58">
        <v>0.76</v>
      </c>
      <c r="C58">
        <v>3.8</v>
      </c>
      <c r="E58">
        <f t="shared" si="3"/>
        <v>2.8879999999999999</v>
      </c>
    </row>
    <row r="59" spans="1:5" x14ac:dyDescent="0.2">
      <c r="B59">
        <v>0.76</v>
      </c>
      <c r="C59">
        <v>3.8</v>
      </c>
      <c r="E59">
        <f t="shared" si="3"/>
        <v>2.8879999999999999</v>
      </c>
    </row>
    <row r="60" spans="1:5" x14ac:dyDescent="0.2">
      <c r="B60">
        <v>1.8</v>
      </c>
      <c r="C60">
        <v>3.8</v>
      </c>
      <c r="E60">
        <f t="shared" si="3"/>
        <v>6.84</v>
      </c>
    </row>
    <row r="61" spans="1:5" x14ac:dyDescent="0.2">
      <c r="B61">
        <v>-1.4</v>
      </c>
      <c r="C61">
        <v>2.5499999999999998</v>
      </c>
      <c r="E61">
        <f t="shared" si="3"/>
        <v>-3.5699999999999994</v>
      </c>
    </row>
    <row r="62" spans="1:5" x14ac:dyDescent="0.2">
      <c r="B62">
        <v>31.28</v>
      </c>
      <c r="C62">
        <v>3.8</v>
      </c>
      <c r="E62">
        <f t="shared" si="3"/>
        <v>118.864</v>
      </c>
    </row>
    <row r="63" spans="1:5" x14ac:dyDescent="0.2">
      <c r="B63">
        <v>2.2400000000000002</v>
      </c>
      <c r="C63">
        <v>3.8</v>
      </c>
      <c r="E63">
        <f t="shared" si="3"/>
        <v>8.5120000000000005</v>
      </c>
    </row>
    <row r="64" spans="1:5" x14ac:dyDescent="0.2">
      <c r="A64" t="s">
        <v>230</v>
      </c>
    </row>
    <row r="65" spans="1:5" x14ac:dyDescent="0.2">
      <c r="B65">
        <v>13.6</v>
      </c>
      <c r="C65">
        <v>3.8</v>
      </c>
      <c r="E65">
        <f t="shared" si="3"/>
        <v>51.68</v>
      </c>
    </row>
    <row r="66" spans="1:5" x14ac:dyDescent="0.2">
      <c r="B66">
        <v>-1.8</v>
      </c>
      <c r="C66">
        <v>3.8</v>
      </c>
      <c r="E66">
        <f t="shared" si="3"/>
        <v>-6.84</v>
      </c>
    </row>
    <row r="67" spans="1:5" x14ac:dyDescent="0.2">
      <c r="B67">
        <v>-1.4</v>
      </c>
      <c r="C67">
        <v>3.8</v>
      </c>
      <c r="E67">
        <f t="shared" si="3"/>
        <v>-5.3199999999999994</v>
      </c>
    </row>
    <row r="68" spans="1:5" x14ac:dyDescent="0.2">
      <c r="A68" t="s">
        <v>238</v>
      </c>
    </row>
    <row r="69" spans="1:5" x14ac:dyDescent="0.2">
      <c r="B69">
        <v>12.48</v>
      </c>
      <c r="C69">
        <v>0.9</v>
      </c>
      <c r="E69">
        <f t="shared" si="3"/>
        <v>11.232000000000001</v>
      </c>
    </row>
    <row r="70" spans="1:5" x14ac:dyDescent="0.2">
      <c r="B70">
        <v>12.48</v>
      </c>
      <c r="C70">
        <v>0.9</v>
      </c>
      <c r="E70">
        <f t="shared" si="3"/>
        <v>11.232000000000001</v>
      </c>
    </row>
    <row r="71" spans="1:5" x14ac:dyDescent="0.2">
      <c r="B71">
        <v>12.36</v>
      </c>
      <c r="C71">
        <v>0.9</v>
      </c>
      <c r="E71">
        <f t="shared" si="3"/>
        <v>11.124000000000001</v>
      </c>
    </row>
    <row r="73" spans="1:5" x14ac:dyDescent="0.2">
      <c r="A73" s="3" t="s">
        <v>239</v>
      </c>
      <c r="C73" s="3"/>
      <c r="D73" s="4"/>
      <c r="E73" s="3"/>
    </row>
    <row r="74" spans="1:5" x14ac:dyDescent="0.2">
      <c r="A74" t="s">
        <v>240</v>
      </c>
    </row>
    <row r="75" spans="1:5" x14ac:dyDescent="0.2">
      <c r="B75">
        <v>18.45</v>
      </c>
      <c r="C75">
        <v>3.8</v>
      </c>
      <c r="E75">
        <f t="shared" si="3"/>
        <v>70.11</v>
      </c>
    </row>
    <row r="76" spans="1:5" x14ac:dyDescent="0.2">
      <c r="B76">
        <v>0.84</v>
      </c>
      <c r="C76">
        <v>0.9</v>
      </c>
      <c r="E76">
        <f t="shared" si="3"/>
        <v>0.75600000000000001</v>
      </c>
    </row>
    <row r="77" spans="1:5" x14ac:dyDescent="0.2">
      <c r="B77">
        <v>24.45</v>
      </c>
      <c r="C77">
        <v>3.8</v>
      </c>
      <c r="E77">
        <f t="shared" si="3"/>
        <v>92.91</v>
      </c>
    </row>
    <row r="78" spans="1:5" x14ac:dyDescent="0.2">
      <c r="B78">
        <v>9.6</v>
      </c>
      <c r="C78">
        <v>0.9</v>
      </c>
      <c r="E78">
        <f t="shared" si="3"/>
        <v>8.64</v>
      </c>
    </row>
    <row r="79" spans="1:5" x14ac:dyDescent="0.2">
      <c r="B79">
        <v>12.6</v>
      </c>
      <c r="C79">
        <v>0.9</v>
      </c>
      <c r="E79">
        <f t="shared" si="3"/>
        <v>11.34</v>
      </c>
    </row>
    <row r="80" spans="1:5" x14ac:dyDescent="0.2">
      <c r="B80">
        <v>3.28</v>
      </c>
      <c r="C80">
        <v>0.9</v>
      </c>
      <c r="E80">
        <f t="shared" si="3"/>
        <v>2.952</v>
      </c>
    </row>
    <row r="81" spans="1:5" x14ac:dyDescent="0.2">
      <c r="B81">
        <v>31</v>
      </c>
      <c r="C81">
        <v>0.9</v>
      </c>
      <c r="E81">
        <f t="shared" si="3"/>
        <v>27.900000000000002</v>
      </c>
    </row>
    <row r="82" spans="1:5" x14ac:dyDescent="0.2">
      <c r="B82">
        <v>5.8</v>
      </c>
      <c r="C82">
        <v>0.9</v>
      </c>
      <c r="E82">
        <f t="shared" si="3"/>
        <v>5.22</v>
      </c>
    </row>
    <row r="83" spans="1:5" x14ac:dyDescent="0.2">
      <c r="B83">
        <v>3.52</v>
      </c>
      <c r="C83">
        <v>0.9</v>
      </c>
      <c r="E83">
        <f t="shared" si="3"/>
        <v>3.1680000000000001</v>
      </c>
    </row>
    <row r="85" spans="1:5" x14ac:dyDescent="0.2">
      <c r="A85" s="3" t="s">
        <v>241</v>
      </c>
      <c r="C85" s="3"/>
      <c r="D85" s="4"/>
      <c r="E85" s="3"/>
    </row>
    <row r="86" spans="1:5" x14ac:dyDescent="0.2">
      <c r="B86">
        <v>4.38</v>
      </c>
      <c r="C86">
        <v>3.8</v>
      </c>
      <c r="E86">
        <f t="shared" ref="E86:E91" si="4">B86*C86</f>
        <v>16.643999999999998</v>
      </c>
    </row>
    <row r="87" spans="1:5" x14ac:dyDescent="0.2">
      <c r="B87">
        <v>2.86</v>
      </c>
      <c r="C87">
        <v>3.8</v>
      </c>
      <c r="E87">
        <f t="shared" si="4"/>
        <v>10.867999999999999</v>
      </c>
    </row>
    <row r="88" spans="1:5" x14ac:dyDescent="0.2">
      <c r="B88">
        <v>2.86</v>
      </c>
      <c r="C88">
        <v>3.8</v>
      </c>
      <c r="E88">
        <f t="shared" si="4"/>
        <v>10.867999999999999</v>
      </c>
    </row>
    <row r="89" spans="1:5" x14ac:dyDescent="0.2">
      <c r="B89">
        <v>2.6</v>
      </c>
      <c r="C89">
        <v>3.8</v>
      </c>
      <c r="E89">
        <f t="shared" si="4"/>
        <v>9.879999999999999</v>
      </c>
    </row>
    <row r="90" spans="1:5" x14ac:dyDescent="0.2">
      <c r="B90">
        <v>0.8</v>
      </c>
      <c r="C90">
        <v>3.8</v>
      </c>
      <c r="E90">
        <f t="shared" si="4"/>
        <v>3.04</v>
      </c>
    </row>
    <row r="91" spans="1:5" x14ac:dyDescent="0.2">
      <c r="B91">
        <v>0.8</v>
      </c>
      <c r="C91">
        <v>3.8</v>
      </c>
      <c r="E91">
        <f t="shared" si="4"/>
        <v>3.04</v>
      </c>
    </row>
    <row r="93" spans="1:5" x14ac:dyDescent="0.2">
      <c r="A93" s="3" t="s">
        <v>242</v>
      </c>
      <c r="C93" s="3"/>
      <c r="D93" s="4" t="s">
        <v>243</v>
      </c>
      <c r="E93" s="3"/>
    </row>
    <row r="94" spans="1:5" x14ac:dyDescent="0.2">
      <c r="B94">
        <v>6.35</v>
      </c>
      <c r="C94">
        <v>1.4</v>
      </c>
      <c r="D94" s="5">
        <v>3</v>
      </c>
      <c r="E94">
        <f>(B94*C94)*D94</f>
        <v>26.669999999999995</v>
      </c>
    </row>
    <row r="95" spans="1:5" x14ac:dyDescent="0.2">
      <c r="B95">
        <v>1.08</v>
      </c>
      <c r="C95">
        <v>1.4</v>
      </c>
      <c r="D95" s="5">
        <v>3</v>
      </c>
      <c r="E95">
        <f t="shared" ref="E95:E96" si="5">(B95*C95)*D95</f>
        <v>4.5359999999999996</v>
      </c>
    </row>
    <row r="96" spans="1:5" x14ac:dyDescent="0.2">
      <c r="B96">
        <v>6.21</v>
      </c>
      <c r="C96">
        <v>1.4</v>
      </c>
      <c r="D96" s="5">
        <v>3</v>
      </c>
      <c r="E96">
        <f t="shared" si="5"/>
        <v>26.081999999999997</v>
      </c>
    </row>
    <row r="97" spans="4:8" x14ac:dyDescent="0.2">
      <c r="G97">
        <f>3.8/0.19</f>
        <v>20</v>
      </c>
      <c r="H97">
        <f>G97/4</f>
        <v>5</v>
      </c>
    </row>
    <row r="98" spans="4:8" x14ac:dyDescent="0.2">
      <c r="D98" s="5" t="s">
        <v>252</v>
      </c>
      <c r="E98">
        <f>SUM(E2:E97)</f>
        <v>1737.0210000000002</v>
      </c>
      <c r="F98">
        <f>E98/3.8</f>
        <v>457.11078947368429</v>
      </c>
      <c r="G98">
        <f>F98*5</f>
        <v>2285.5539473684216</v>
      </c>
    </row>
    <row r="99" spans="4:8" x14ac:dyDescent="0.2">
      <c r="D99" s="5" t="s">
        <v>253</v>
      </c>
      <c r="F99">
        <f>F98/0.8</f>
        <v>571.38848684210529</v>
      </c>
      <c r="G99">
        <f>F99*3.8</f>
        <v>2171.2762499999999</v>
      </c>
    </row>
    <row r="100" spans="4:8" x14ac:dyDescent="0.2">
      <c r="D100" s="5" t="s">
        <v>254</v>
      </c>
      <c r="F100">
        <f>F99*2</f>
        <v>1142.7769736842106</v>
      </c>
    </row>
    <row r="102" spans="4:8" x14ac:dyDescent="0.2">
      <c r="D102" s="5" t="s">
        <v>255</v>
      </c>
      <c r="F102" s="1">
        <f>0.19-(0.026+0.026)</f>
        <v>0.13800000000000001</v>
      </c>
      <c r="G102">
        <f>F102*F103</f>
        <v>2.1528000000000002E-2</v>
      </c>
      <c r="H102">
        <f>G102*F99</f>
        <v>12.300851344736843</v>
      </c>
    </row>
    <row r="103" spans="4:8" x14ac:dyDescent="0.2">
      <c r="F103" s="1">
        <f>(0.39-(0.026)*3)/2</f>
        <v>0.156</v>
      </c>
    </row>
    <row r="104" spans="4:8" x14ac:dyDescent="0.2">
      <c r="D104" s="5" t="s">
        <v>256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547E4-F599-484D-8720-4E6D92D7319F}">
  <sheetPr codeName="Hoja52"/>
  <dimension ref="A1:D131"/>
  <sheetViews>
    <sheetView topLeftCell="A106" workbookViewId="0">
      <selection activeCell="A122" sqref="A122:XFD130"/>
    </sheetView>
  </sheetViews>
  <sheetFormatPr baseColWidth="10" defaultRowHeight="16" x14ac:dyDescent="0.2"/>
  <cols>
    <col min="1" max="1" width="23.83203125" bestFit="1" customWidth="1"/>
  </cols>
  <sheetData>
    <row r="1" spans="1:4" x14ac:dyDescent="0.2">
      <c r="A1" s="3" t="s">
        <v>228</v>
      </c>
      <c r="B1" s="3"/>
      <c r="C1" s="3"/>
    </row>
    <row r="2" spans="1:4" x14ac:dyDescent="0.2">
      <c r="A2" t="s">
        <v>244</v>
      </c>
    </row>
    <row r="3" spans="1:4" x14ac:dyDescent="0.2">
      <c r="A3" t="s">
        <v>245</v>
      </c>
    </row>
    <row r="4" spans="1:4" x14ac:dyDescent="0.2">
      <c r="A4">
        <v>4.88</v>
      </c>
      <c r="B4">
        <v>3.8</v>
      </c>
      <c r="D4">
        <f>A4*B4</f>
        <v>18.544</v>
      </c>
    </row>
    <row r="5" spans="1:4" x14ac:dyDescent="0.2">
      <c r="A5">
        <v>4.2</v>
      </c>
      <c r="B5">
        <v>3.8</v>
      </c>
      <c r="D5">
        <f t="shared" ref="D5:D23" si="0">A5*B5</f>
        <v>15.959999999999999</v>
      </c>
    </row>
    <row r="6" spans="1:4" x14ac:dyDescent="0.2">
      <c r="A6">
        <v>4.71</v>
      </c>
      <c r="B6">
        <v>3.8</v>
      </c>
      <c r="D6">
        <f t="shared" si="0"/>
        <v>17.898</v>
      </c>
    </row>
    <row r="7" spans="1:4" x14ac:dyDescent="0.2">
      <c r="A7">
        <v>4.71</v>
      </c>
      <c r="B7">
        <v>3.8</v>
      </c>
      <c r="D7">
        <f t="shared" si="0"/>
        <v>17.898</v>
      </c>
    </row>
    <row r="8" spans="1:4" x14ac:dyDescent="0.2">
      <c r="A8">
        <v>-0.7</v>
      </c>
      <c r="B8">
        <v>2.5499999999999998</v>
      </c>
      <c r="C8">
        <v>2</v>
      </c>
      <c r="D8">
        <f>(A8*B8)*C8</f>
        <v>-3.5699999999999994</v>
      </c>
    </row>
    <row r="9" spans="1:4" x14ac:dyDescent="0.2">
      <c r="A9">
        <v>4.2</v>
      </c>
      <c r="B9">
        <v>3.8</v>
      </c>
      <c r="D9">
        <f t="shared" si="0"/>
        <v>15.959999999999999</v>
      </c>
    </row>
    <row r="10" spans="1:4" x14ac:dyDescent="0.2">
      <c r="A10">
        <v>4.57</v>
      </c>
      <c r="B10">
        <v>3.8</v>
      </c>
      <c r="D10">
        <f t="shared" si="0"/>
        <v>17.366</v>
      </c>
    </row>
    <row r="11" spans="1:4" x14ac:dyDescent="0.2">
      <c r="A11">
        <v>4.5199999999999996</v>
      </c>
      <c r="B11">
        <v>3.8</v>
      </c>
      <c r="D11">
        <f t="shared" si="0"/>
        <v>17.175999999999998</v>
      </c>
    </row>
    <row r="12" spans="1:4" x14ac:dyDescent="0.2">
      <c r="A12">
        <v>3.13</v>
      </c>
      <c r="B12">
        <v>3.8</v>
      </c>
      <c r="D12">
        <f t="shared" si="0"/>
        <v>11.893999999999998</v>
      </c>
    </row>
    <row r="13" spans="1:4" x14ac:dyDescent="0.2">
      <c r="A13">
        <v>-0.9</v>
      </c>
      <c r="B13">
        <v>2.5499999999999998</v>
      </c>
      <c r="D13">
        <f t="shared" si="0"/>
        <v>-2.2949999999999999</v>
      </c>
    </row>
    <row r="14" spans="1:4" x14ac:dyDescent="0.2">
      <c r="A14">
        <v>2.83</v>
      </c>
      <c r="B14">
        <v>3.8</v>
      </c>
      <c r="D14">
        <f t="shared" si="0"/>
        <v>10.754</v>
      </c>
    </row>
    <row r="15" spans="1:4" x14ac:dyDescent="0.2">
      <c r="A15">
        <v>-0.7</v>
      </c>
      <c r="B15">
        <v>2.5499999999999998</v>
      </c>
      <c r="D15">
        <f t="shared" si="0"/>
        <v>-1.7849999999999997</v>
      </c>
    </row>
    <row r="16" spans="1:4" x14ac:dyDescent="0.2">
      <c r="A16">
        <v>3.11</v>
      </c>
      <c r="B16">
        <v>3.8</v>
      </c>
      <c r="D16">
        <f t="shared" si="0"/>
        <v>11.818</v>
      </c>
    </row>
    <row r="17" spans="1:4" x14ac:dyDescent="0.2">
      <c r="A17">
        <v>-0.7</v>
      </c>
      <c r="B17">
        <v>2.5499999999999998</v>
      </c>
      <c r="D17">
        <f t="shared" si="0"/>
        <v>-1.7849999999999997</v>
      </c>
    </row>
    <row r="18" spans="1:4" x14ac:dyDescent="0.2">
      <c r="A18">
        <v>0.62</v>
      </c>
      <c r="B18">
        <v>3.8</v>
      </c>
      <c r="D18">
        <f t="shared" si="0"/>
        <v>2.3559999999999999</v>
      </c>
    </row>
    <row r="19" spans="1:4" x14ac:dyDescent="0.2">
      <c r="A19">
        <v>4.4800000000000004</v>
      </c>
      <c r="B19">
        <v>3.8</v>
      </c>
      <c r="D19">
        <f t="shared" si="0"/>
        <v>17.024000000000001</v>
      </c>
    </row>
    <row r="20" spans="1:4" x14ac:dyDescent="0.2">
      <c r="A20">
        <v>3.28</v>
      </c>
      <c r="B20">
        <v>3.8</v>
      </c>
      <c r="D20">
        <f t="shared" si="0"/>
        <v>12.463999999999999</v>
      </c>
    </row>
    <row r="21" spans="1:4" x14ac:dyDescent="0.2">
      <c r="A21">
        <v>3.28</v>
      </c>
      <c r="B21">
        <v>3.8</v>
      </c>
      <c r="D21">
        <f t="shared" si="0"/>
        <v>12.463999999999999</v>
      </c>
    </row>
    <row r="22" spans="1:4" x14ac:dyDescent="0.2">
      <c r="A22">
        <v>0.94</v>
      </c>
      <c r="B22">
        <v>3.8</v>
      </c>
      <c r="D22">
        <f t="shared" si="0"/>
        <v>3.5719999999999996</v>
      </c>
    </row>
    <row r="23" spans="1:4" x14ac:dyDescent="0.2">
      <c r="A23">
        <v>4.4800000000000004</v>
      </c>
      <c r="B23">
        <v>3.8</v>
      </c>
      <c r="D23">
        <f t="shared" si="0"/>
        <v>17.024000000000001</v>
      </c>
    </row>
    <row r="24" spans="1:4" x14ac:dyDescent="0.2">
      <c r="A24" t="s">
        <v>246</v>
      </c>
    </row>
    <row r="25" spans="1:4" x14ac:dyDescent="0.2">
      <c r="A25">
        <v>6.08</v>
      </c>
      <c r="B25">
        <v>3.8</v>
      </c>
      <c r="C25">
        <v>3</v>
      </c>
      <c r="D25">
        <f>(A25*B25)*C25</f>
        <v>69.311999999999998</v>
      </c>
    </row>
    <row r="26" spans="1:4" x14ac:dyDescent="0.2">
      <c r="A26">
        <v>-0.9</v>
      </c>
      <c r="B26">
        <v>2.5499999999999998</v>
      </c>
      <c r="D26">
        <f t="shared" ref="D26:D31" si="1">A26*B26</f>
        <v>-2.2949999999999999</v>
      </c>
    </row>
    <row r="27" spans="1:4" x14ac:dyDescent="0.2">
      <c r="A27">
        <v>2.54</v>
      </c>
      <c r="B27">
        <v>3.8</v>
      </c>
      <c r="D27">
        <f t="shared" si="1"/>
        <v>9.6519999999999992</v>
      </c>
    </row>
    <row r="28" spans="1:4" x14ac:dyDescent="0.2">
      <c r="A28">
        <v>4.88</v>
      </c>
      <c r="B28">
        <v>3.8</v>
      </c>
      <c r="D28">
        <f t="shared" si="1"/>
        <v>18.544</v>
      </c>
    </row>
    <row r="29" spans="1:4" x14ac:dyDescent="0.2">
      <c r="A29">
        <v>3.28</v>
      </c>
      <c r="B29">
        <v>3.8</v>
      </c>
      <c r="D29">
        <f t="shared" si="1"/>
        <v>12.463999999999999</v>
      </c>
    </row>
    <row r="30" spans="1:4" x14ac:dyDescent="0.2">
      <c r="A30">
        <v>5.4</v>
      </c>
      <c r="B30">
        <v>3.8</v>
      </c>
      <c r="D30">
        <f t="shared" si="1"/>
        <v>20.52</v>
      </c>
    </row>
    <row r="31" spans="1:4" x14ac:dyDescent="0.2">
      <c r="A31">
        <v>5.38</v>
      </c>
      <c r="B31">
        <v>3.8</v>
      </c>
      <c r="D31">
        <f t="shared" si="1"/>
        <v>20.443999999999999</v>
      </c>
    </row>
    <row r="32" spans="1:4" x14ac:dyDescent="0.2">
      <c r="A32">
        <v>-0.9</v>
      </c>
      <c r="B32">
        <v>2.5499999999999998</v>
      </c>
      <c r="C32">
        <v>3</v>
      </c>
      <c r="D32">
        <f>(A32*B32)*C32</f>
        <v>-6.8849999999999998</v>
      </c>
    </row>
    <row r="33" spans="1:4" x14ac:dyDescent="0.2">
      <c r="A33">
        <v>-1.74</v>
      </c>
      <c r="B33">
        <v>1.65</v>
      </c>
      <c r="D33">
        <f t="shared" ref="D33:D34" si="2">A33*B33</f>
        <v>-2.871</v>
      </c>
    </row>
    <row r="34" spans="1:4" x14ac:dyDescent="0.2">
      <c r="A34">
        <v>5.38</v>
      </c>
      <c r="B34">
        <v>3.8</v>
      </c>
      <c r="D34">
        <f t="shared" si="2"/>
        <v>20.443999999999999</v>
      </c>
    </row>
    <row r="35" spans="1:4" x14ac:dyDescent="0.2">
      <c r="A35">
        <v>-0.9</v>
      </c>
      <c r="B35">
        <v>2.5499999999999998</v>
      </c>
      <c r="C35">
        <v>3</v>
      </c>
      <c r="D35">
        <f>(A35*B35)*C35</f>
        <v>-6.8849999999999998</v>
      </c>
    </row>
    <row r="36" spans="1:4" x14ac:dyDescent="0.2">
      <c r="A36">
        <v>-1.74</v>
      </c>
      <c r="B36">
        <v>1.65</v>
      </c>
      <c r="D36">
        <f t="shared" ref="D36:D37" si="3">A36*B36</f>
        <v>-2.871</v>
      </c>
    </row>
    <row r="37" spans="1:4" x14ac:dyDescent="0.2">
      <c r="A37">
        <v>1.6</v>
      </c>
      <c r="B37">
        <v>3.8</v>
      </c>
      <c r="D37">
        <f t="shared" si="3"/>
        <v>6.08</v>
      </c>
    </row>
    <row r="38" spans="1:4" x14ac:dyDescent="0.2">
      <c r="A38" t="s">
        <v>248</v>
      </c>
    </row>
    <row r="39" spans="1:4" x14ac:dyDescent="0.2">
      <c r="A39">
        <v>7.46</v>
      </c>
      <c r="B39">
        <v>3.8</v>
      </c>
      <c r="D39">
        <f t="shared" ref="D39:D58" si="4">A39*B39</f>
        <v>28.347999999999999</v>
      </c>
    </row>
    <row r="40" spans="1:4" x14ac:dyDescent="0.2">
      <c r="A40">
        <v>-0.9</v>
      </c>
      <c r="B40">
        <v>2.5499999999999998</v>
      </c>
      <c r="C40">
        <v>2</v>
      </c>
      <c r="D40">
        <f>(A40*B40)*C40</f>
        <v>-4.59</v>
      </c>
    </row>
    <row r="41" spans="1:4" x14ac:dyDescent="0.2">
      <c r="A41">
        <v>-2.38</v>
      </c>
      <c r="B41">
        <v>1.65</v>
      </c>
      <c r="D41">
        <f t="shared" si="4"/>
        <v>-3.9269999999999996</v>
      </c>
    </row>
    <row r="42" spans="1:4" x14ac:dyDescent="0.2">
      <c r="A42">
        <v>-1.72</v>
      </c>
      <c r="B42">
        <v>1.65</v>
      </c>
      <c r="D42">
        <f t="shared" si="4"/>
        <v>-2.8379999999999996</v>
      </c>
    </row>
    <row r="43" spans="1:4" x14ac:dyDescent="0.2">
      <c r="A43">
        <v>3.44</v>
      </c>
      <c r="B43">
        <v>3.8</v>
      </c>
      <c r="D43">
        <f t="shared" si="4"/>
        <v>13.071999999999999</v>
      </c>
    </row>
    <row r="44" spans="1:4" x14ac:dyDescent="0.2">
      <c r="A44">
        <v>-2.54</v>
      </c>
      <c r="B44">
        <v>1.65</v>
      </c>
      <c r="D44">
        <f t="shared" si="4"/>
        <v>-4.1909999999999998</v>
      </c>
    </row>
    <row r="45" spans="1:4" x14ac:dyDescent="0.2">
      <c r="A45">
        <v>-0.9</v>
      </c>
      <c r="B45">
        <v>2.5499999999999998</v>
      </c>
      <c r="D45">
        <f t="shared" si="4"/>
        <v>-2.2949999999999999</v>
      </c>
    </row>
    <row r="46" spans="1:4" x14ac:dyDescent="0.2">
      <c r="A46">
        <v>8.7200000000000006</v>
      </c>
      <c r="B46">
        <v>3.8</v>
      </c>
      <c r="D46">
        <f t="shared" si="4"/>
        <v>33.136000000000003</v>
      </c>
    </row>
    <row r="47" spans="1:4" x14ac:dyDescent="0.2">
      <c r="A47">
        <v>-0.9</v>
      </c>
      <c r="B47">
        <v>2.5499999999999998</v>
      </c>
      <c r="C47">
        <v>3</v>
      </c>
      <c r="D47">
        <f>(A47*B47)*C47</f>
        <v>-6.8849999999999998</v>
      </c>
    </row>
    <row r="48" spans="1:4" x14ac:dyDescent="0.2">
      <c r="A48">
        <v>0.7</v>
      </c>
      <c r="B48">
        <v>2.5499999999999998</v>
      </c>
      <c r="D48">
        <f t="shared" si="4"/>
        <v>1.7849999999999997</v>
      </c>
    </row>
    <row r="49" spans="1:4" x14ac:dyDescent="0.2">
      <c r="A49">
        <v>-1.72</v>
      </c>
      <c r="B49">
        <v>1.65</v>
      </c>
      <c r="D49">
        <f t="shared" si="4"/>
        <v>-2.8379999999999996</v>
      </c>
    </row>
    <row r="50" spans="1:4" x14ac:dyDescent="0.2">
      <c r="A50">
        <v>1.2</v>
      </c>
      <c r="B50">
        <v>3.8</v>
      </c>
      <c r="C50">
        <v>4</v>
      </c>
      <c r="D50">
        <f>(A50*B50)*C50</f>
        <v>18.239999999999998</v>
      </c>
    </row>
    <row r="51" spans="1:4" x14ac:dyDescent="0.2">
      <c r="A51">
        <v>2.74</v>
      </c>
      <c r="B51">
        <v>3.8</v>
      </c>
      <c r="D51">
        <f t="shared" si="4"/>
        <v>10.412000000000001</v>
      </c>
    </row>
    <row r="52" spans="1:4" x14ac:dyDescent="0.2">
      <c r="A52">
        <v>1.18</v>
      </c>
      <c r="B52">
        <v>3.8</v>
      </c>
      <c r="C52">
        <v>2</v>
      </c>
      <c r="D52">
        <f>(A52*B52)*C52</f>
        <v>8.968</v>
      </c>
    </row>
    <row r="53" spans="1:4" x14ac:dyDescent="0.2">
      <c r="A53">
        <v>-0.7</v>
      </c>
      <c r="B53">
        <v>2.5499999999999998</v>
      </c>
      <c r="D53">
        <f t="shared" si="4"/>
        <v>-1.7849999999999997</v>
      </c>
    </row>
    <row r="54" spans="1:4" x14ac:dyDescent="0.2">
      <c r="A54">
        <v>2.38</v>
      </c>
      <c r="B54">
        <v>3.8</v>
      </c>
      <c r="D54">
        <f t="shared" si="4"/>
        <v>9.0439999999999987</v>
      </c>
    </row>
    <row r="55" spans="1:4" x14ac:dyDescent="0.2">
      <c r="A55">
        <v>-2.38</v>
      </c>
      <c r="B55">
        <v>1.65</v>
      </c>
      <c r="D55">
        <f t="shared" si="4"/>
        <v>-3.9269999999999996</v>
      </c>
    </row>
    <row r="56" spans="1:4" x14ac:dyDescent="0.2">
      <c r="A56">
        <v>10.7</v>
      </c>
      <c r="B56">
        <v>3.8</v>
      </c>
      <c r="D56">
        <f t="shared" si="4"/>
        <v>40.659999999999997</v>
      </c>
    </row>
    <row r="57" spans="1:4" x14ac:dyDescent="0.2">
      <c r="A57">
        <v>-0.9</v>
      </c>
      <c r="B57">
        <v>2.5499999999999998</v>
      </c>
      <c r="C57">
        <v>3</v>
      </c>
      <c r="D57">
        <f>(A57*B57)*C57</f>
        <v>-6.8849999999999998</v>
      </c>
    </row>
    <row r="58" spans="1:4" x14ac:dyDescent="0.2">
      <c r="A58">
        <v>-1.4</v>
      </c>
      <c r="B58">
        <v>2.5499999999999998</v>
      </c>
      <c r="D58">
        <f t="shared" si="4"/>
        <v>-3.5699999999999994</v>
      </c>
    </row>
    <row r="59" spans="1:4" x14ac:dyDescent="0.2">
      <c r="A59" t="s">
        <v>247</v>
      </c>
    </row>
    <row r="60" spans="1:4" x14ac:dyDescent="0.2">
      <c r="A60">
        <v>1.66</v>
      </c>
      <c r="B60">
        <v>3.8</v>
      </c>
      <c r="C60">
        <v>3</v>
      </c>
      <c r="D60">
        <f>(A60*B60)*C60</f>
        <v>18.923999999999999</v>
      </c>
    </row>
    <row r="61" spans="1:4" x14ac:dyDescent="0.2">
      <c r="A61">
        <v>-0.7</v>
      </c>
      <c r="B61">
        <v>2.5499999999999998</v>
      </c>
      <c r="C61">
        <v>3</v>
      </c>
      <c r="D61">
        <f>(A61*B61)*C61</f>
        <v>-5.3549999999999986</v>
      </c>
    </row>
    <row r="62" spans="1:4" x14ac:dyDescent="0.2">
      <c r="A62">
        <v>2.2599999999999998</v>
      </c>
      <c r="B62">
        <v>3.8</v>
      </c>
      <c r="D62">
        <f t="shared" ref="D62:D76" si="5">A62*B62</f>
        <v>8.5879999999999992</v>
      </c>
    </row>
    <row r="63" spans="1:4" x14ac:dyDescent="0.2">
      <c r="A63">
        <v>2.54</v>
      </c>
      <c r="B63">
        <v>3.8</v>
      </c>
      <c r="D63">
        <f t="shared" si="5"/>
        <v>9.6519999999999992</v>
      </c>
    </row>
    <row r="64" spans="1:4" x14ac:dyDescent="0.2">
      <c r="A64">
        <v>2.72</v>
      </c>
      <c r="B64">
        <v>3.8</v>
      </c>
      <c r="D64">
        <f t="shared" si="5"/>
        <v>10.336</v>
      </c>
    </row>
    <row r="65" spans="1:4" x14ac:dyDescent="0.2">
      <c r="A65">
        <v>-0.9</v>
      </c>
      <c r="B65">
        <v>2.5499999999999998</v>
      </c>
      <c r="D65">
        <f t="shared" si="5"/>
        <v>-2.2949999999999999</v>
      </c>
    </row>
    <row r="66" spans="1:4" x14ac:dyDescent="0.2">
      <c r="A66">
        <v>4.78</v>
      </c>
      <c r="B66">
        <v>3.8</v>
      </c>
      <c r="D66">
        <f t="shared" si="5"/>
        <v>18.164000000000001</v>
      </c>
    </row>
    <row r="67" spans="1:4" x14ac:dyDescent="0.2">
      <c r="A67">
        <v>-1.4</v>
      </c>
      <c r="B67">
        <v>2.5499999999999998</v>
      </c>
      <c r="D67">
        <f t="shared" si="5"/>
        <v>-3.5699999999999994</v>
      </c>
    </row>
    <row r="68" spans="1:4" x14ac:dyDescent="0.2">
      <c r="A68">
        <v>2.62</v>
      </c>
      <c r="B68">
        <v>3.8</v>
      </c>
      <c r="D68">
        <f t="shared" si="5"/>
        <v>9.9559999999999995</v>
      </c>
    </row>
    <row r="69" spans="1:4" x14ac:dyDescent="0.2">
      <c r="A69">
        <v>0.76</v>
      </c>
      <c r="B69">
        <v>3.8</v>
      </c>
      <c r="C69">
        <v>4</v>
      </c>
      <c r="D69">
        <f>(A69*B69)*C69</f>
        <v>11.552</v>
      </c>
    </row>
    <row r="70" spans="1:4" x14ac:dyDescent="0.2">
      <c r="A70">
        <v>1.94</v>
      </c>
      <c r="B70">
        <v>3.8</v>
      </c>
      <c r="D70">
        <f t="shared" si="5"/>
        <v>7.3719999999999999</v>
      </c>
    </row>
    <row r="71" spans="1:4" x14ac:dyDescent="0.2">
      <c r="A71">
        <v>0.8</v>
      </c>
      <c r="B71">
        <v>3.8</v>
      </c>
      <c r="D71">
        <f t="shared" si="5"/>
        <v>3.04</v>
      </c>
    </row>
    <row r="72" spans="1:4" x14ac:dyDescent="0.2">
      <c r="A72">
        <v>4.0599999999999996</v>
      </c>
      <c r="B72">
        <v>3.8</v>
      </c>
      <c r="C72">
        <v>3</v>
      </c>
      <c r="D72">
        <f>(A72*B72)*C72</f>
        <v>46.283999999999992</v>
      </c>
    </row>
    <row r="73" spans="1:4" x14ac:dyDescent="0.2">
      <c r="A73">
        <v>3.66</v>
      </c>
      <c r="B73">
        <v>3.8</v>
      </c>
      <c r="D73">
        <f t="shared" si="5"/>
        <v>13.907999999999999</v>
      </c>
    </row>
    <row r="74" spans="1:4" x14ac:dyDescent="0.2">
      <c r="A74">
        <v>6.1</v>
      </c>
      <c r="B74">
        <v>3.8</v>
      </c>
      <c r="D74">
        <f t="shared" si="5"/>
        <v>23.179999999999996</v>
      </c>
    </row>
    <row r="75" spans="1:4" x14ac:dyDescent="0.2">
      <c r="A75">
        <v>-0.9</v>
      </c>
      <c r="B75">
        <v>2.5499999999999998</v>
      </c>
      <c r="D75">
        <f t="shared" si="5"/>
        <v>-2.2949999999999999</v>
      </c>
    </row>
    <row r="76" spans="1:4" x14ac:dyDescent="0.2">
      <c r="A76">
        <v>-1.1499999999999999</v>
      </c>
      <c r="B76">
        <v>1.65</v>
      </c>
      <c r="D76">
        <f t="shared" si="5"/>
        <v>-1.8974999999999997</v>
      </c>
    </row>
    <row r="78" spans="1:4" x14ac:dyDescent="0.2">
      <c r="A78" s="3" t="s">
        <v>236</v>
      </c>
      <c r="B78" s="3"/>
      <c r="C78" s="3"/>
    </row>
    <row r="79" spans="1:4" x14ac:dyDescent="0.2">
      <c r="A79" t="s">
        <v>249</v>
      </c>
    </row>
    <row r="80" spans="1:4" x14ac:dyDescent="0.2">
      <c r="A80">
        <v>7.46</v>
      </c>
      <c r="B80">
        <v>3.8</v>
      </c>
      <c r="D80">
        <f t="shared" ref="D80:D101" si="6">A80*B80</f>
        <v>28.347999999999999</v>
      </c>
    </row>
    <row r="81" spans="1:4" x14ac:dyDescent="0.2">
      <c r="A81">
        <v>-3</v>
      </c>
      <c r="B81">
        <v>1.65</v>
      </c>
      <c r="D81">
        <f t="shared" si="6"/>
        <v>-4.9499999999999993</v>
      </c>
    </row>
    <row r="82" spans="1:4" x14ac:dyDescent="0.2">
      <c r="A82">
        <v>-0.9</v>
      </c>
      <c r="B82">
        <v>2.5499999999999998</v>
      </c>
      <c r="D82">
        <f t="shared" si="6"/>
        <v>-2.2949999999999999</v>
      </c>
    </row>
    <row r="83" spans="1:4" x14ac:dyDescent="0.2">
      <c r="A83">
        <v>-2</v>
      </c>
      <c r="B83">
        <v>1.65</v>
      </c>
      <c r="D83">
        <f t="shared" si="6"/>
        <v>-3.3</v>
      </c>
    </row>
    <row r="84" spans="1:4" x14ac:dyDescent="0.2">
      <c r="A84">
        <v>-0.7</v>
      </c>
      <c r="B84">
        <v>2.5499999999999998</v>
      </c>
      <c r="D84">
        <f t="shared" si="6"/>
        <v>-1.7849999999999997</v>
      </c>
    </row>
    <row r="85" spans="1:4" x14ac:dyDescent="0.2">
      <c r="A85">
        <v>0.6</v>
      </c>
      <c r="B85">
        <v>3.8</v>
      </c>
      <c r="D85">
        <f t="shared" si="6"/>
        <v>2.2799999999999998</v>
      </c>
    </row>
    <row r="86" spans="1:4" x14ac:dyDescent="0.2">
      <c r="A86">
        <v>1.2</v>
      </c>
      <c r="B86">
        <v>3.8</v>
      </c>
      <c r="C86">
        <v>2</v>
      </c>
      <c r="D86">
        <f>(A86*B86)*C86</f>
        <v>9.1199999999999992</v>
      </c>
    </row>
    <row r="87" spans="1:4" x14ac:dyDescent="0.2">
      <c r="A87">
        <v>3.44</v>
      </c>
      <c r="B87">
        <v>3.8</v>
      </c>
      <c r="D87">
        <f t="shared" si="6"/>
        <v>13.071999999999999</v>
      </c>
    </row>
    <row r="88" spans="1:4" x14ac:dyDescent="0.2">
      <c r="A88">
        <v>-3.44</v>
      </c>
      <c r="B88">
        <v>2.5499999999999998</v>
      </c>
      <c r="D88">
        <f t="shared" si="6"/>
        <v>-8.7719999999999985</v>
      </c>
    </row>
    <row r="89" spans="1:4" x14ac:dyDescent="0.2">
      <c r="A89">
        <v>1.2</v>
      </c>
      <c r="B89">
        <v>3.8</v>
      </c>
      <c r="D89">
        <f t="shared" si="6"/>
        <v>4.5599999999999996</v>
      </c>
    </row>
    <row r="90" spans="1:4" x14ac:dyDescent="0.2">
      <c r="A90">
        <v>12.36</v>
      </c>
      <c r="B90">
        <v>3.8</v>
      </c>
      <c r="D90">
        <f t="shared" si="6"/>
        <v>46.967999999999996</v>
      </c>
    </row>
    <row r="91" spans="1:4" x14ac:dyDescent="0.2">
      <c r="A91">
        <v>-0.7</v>
      </c>
      <c r="B91">
        <v>2.5499999999999998</v>
      </c>
      <c r="D91">
        <f t="shared" si="6"/>
        <v>-1.7849999999999997</v>
      </c>
    </row>
    <row r="92" spans="1:4" x14ac:dyDescent="0.2">
      <c r="A92">
        <v>-0.9</v>
      </c>
      <c r="B92">
        <v>2.5499999999999998</v>
      </c>
      <c r="C92">
        <v>3</v>
      </c>
      <c r="D92">
        <f>(A92*B92)*C92</f>
        <v>-6.8849999999999998</v>
      </c>
    </row>
    <row r="93" spans="1:4" x14ac:dyDescent="0.2">
      <c r="A93">
        <v>-2.5499999999999998</v>
      </c>
      <c r="B93">
        <v>1.65</v>
      </c>
      <c r="D93">
        <f t="shared" si="6"/>
        <v>-4.2074999999999996</v>
      </c>
    </row>
    <row r="94" spans="1:4" x14ac:dyDescent="0.2">
      <c r="A94">
        <v>1.18</v>
      </c>
      <c r="B94">
        <v>3.8</v>
      </c>
      <c r="C94">
        <v>2</v>
      </c>
      <c r="D94">
        <f t="shared" si="6"/>
        <v>4.484</v>
      </c>
    </row>
    <row r="95" spans="1:4" x14ac:dyDescent="0.2">
      <c r="A95">
        <v>-0.7</v>
      </c>
      <c r="B95">
        <v>2.5499999999999998</v>
      </c>
      <c r="D95">
        <f t="shared" si="6"/>
        <v>-1.7849999999999997</v>
      </c>
    </row>
    <row r="96" spans="1:4" x14ac:dyDescent="0.2">
      <c r="A96">
        <v>2.38</v>
      </c>
      <c r="B96">
        <v>3.8</v>
      </c>
      <c r="D96">
        <f t="shared" si="6"/>
        <v>9.0439999999999987</v>
      </c>
    </row>
    <row r="97" spans="1:4" x14ac:dyDescent="0.2">
      <c r="A97">
        <v>-2.38</v>
      </c>
      <c r="B97">
        <v>1.65</v>
      </c>
      <c r="D97">
        <f t="shared" si="6"/>
        <v>-3.9269999999999996</v>
      </c>
    </row>
    <row r="98" spans="1:4" x14ac:dyDescent="0.2">
      <c r="A98" t="s">
        <v>250</v>
      </c>
    </row>
    <row r="99" spans="1:4" x14ac:dyDescent="0.2">
      <c r="A99">
        <v>14</v>
      </c>
      <c r="B99">
        <v>3.8</v>
      </c>
      <c r="D99">
        <f t="shared" si="6"/>
        <v>53.199999999999996</v>
      </c>
    </row>
    <row r="100" spans="1:4" x14ac:dyDescent="0.2">
      <c r="A100">
        <v>-6.1</v>
      </c>
      <c r="B100">
        <v>2.5499999999999998</v>
      </c>
      <c r="D100">
        <f t="shared" si="6"/>
        <v>-15.554999999999998</v>
      </c>
    </row>
    <row r="101" spans="1:4" x14ac:dyDescent="0.2">
      <c r="A101">
        <v>-7.5</v>
      </c>
      <c r="B101">
        <v>2.5499999999999998</v>
      </c>
      <c r="D101">
        <f t="shared" si="6"/>
        <v>-19.125</v>
      </c>
    </row>
    <row r="103" spans="1:4" x14ac:dyDescent="0.2">
      <c r="A103" t="s">
        <v>251</v>
      </c>
    </row>
    <row r="104" spans="1:4" x14ac:dyDescent="0.2">
      <c r="A104">
        <v>4.88</v>
      </c>
      <c r="B104">
        <v>3.8</v>
      </c>
      <c r="D104">
        <f t="shared" ref="D104:D130" si="7">A104*B104</f>
        <v>18.544</v>
      </c>
    </row>
    <row r="105" spans="1:4" x14ac:dyDescent="0.2">
      <c r="A105">
        <v>4.5999999999999996</v>
      </c>
      <c r="B105">
        <v>3.8</v>
      </c>
      <c r="D105">
        <f t="shared" si="7"/>
        <v>17.479999999999997</v>
      </c>
    </row>
    <row r="106" spans="1:4" x14ac:dyDescent="0.2">
      <c r="A106">
        <v>4.82</v>
      </c>
      <c r="B106">
        <v>3.8</v>
      </c>
      <c r="D106">
        <f t="shared" si="7"/>
        <v>18.315999999999999</v>
      </c>
    </row>
    <row r="107" spans="1:4" x14ac:dyDescent="0.2">
      <c r="A107">
        <v>-0.7</v>
      </c>
      <c r="B107">
        <v>2.5499999999999998</v>
      </c>
      <c r="C107">
        <v>2</v>
      </c>
      <c r="D107">
        <f t="shared" ref="D107" si="8">A107*B107</f>
        <v>-1.7849999999999997</v>
      </c>
    </row>
    <row r="108" spans="1:4" x14ac:dyDescent="0.2">
      <c r="A108">
        <v>4.71</v>
      </c>
      <c r="B108">
        <v>3.8</v>
      </c>
      <c r="D108">
        <f t="shared" si="7"/>
        <v>17.898</v>
      </c>
    </row>
    <row r="109" spans="1:4" x14ac:dyDescent="0.2">
      <c r="A109">
        <v>4.68</v>
      </c>
      <c r="B109">
        <v>3.8</v>
      </c>
      <c r="D109">
        <f t="shared" si="7"/>
        <v>17.783999999999999</v>
      </c>
    </row>
    <row r="110" spans="1:4" x14ac:dyDescent="0.2">
      <c r="A110">
        <v>-0.7</v>
      </c>
      <c r="B110">
        <v>2.5499999999999998</v>
      </c>
      <c r="D110">
        <f t="shared" si="7"/>
        <v>-1.7849999999999997</v>
      </c>
    </row>
    <row r="111" spans="1:4" x14ac:dyDescent="0.2">
      <c r="A111">
        <v>4.2</v>
      </c>
      <c r="B111">
        <v>3.8</v>
      </c>
      <c r="D111">
        <f t="shared" si="7"/>
        <v>15.959999999999999</v>
      </c>
    </row>
    <row r="112" spans="1:4" x14ac:dyDescent="0.2">
      <c r="A112">
        <v>4.57</v>
      </c>
      <c r="B112">
        <v>3.8</v>
      </c>
      <c r="D112">
        <f t="shared" si="7"/>
        <v>17.366</v>
      </c>
    </row>
    <row r="113" spans="1:4" x14ac:dyDescent="0.2">
      <c r="A113">
        <v>4.4000000000000004</v>
      </c>
      <c r="B113">
        <v>3.8</v>
      </c>
      <c r="D113">
        <f t="shared" si="7"/>
        <v>16.72</v>
      </c>
    </row>
    <row r="114" spans="1:4" x14ac:dyDescent="0.2">
      <c r="A114">
        <v>4.2</v>
      </c>
      <c r="B114">
        <v>3.8</v>
      </c>
      <c r="D114">
        <f t="shared" si="7"/>
        <v>15.959999999999999</v>
      </c>
    </row>
    <row r="115" spans="1:4" x14ac:dyDescent="0.2">
      <c r="A115">
        <v>-0.9</v>
      </c>
      <c r="B115">
        <v>2.5499999999999998</v>
      </c>
      <c r="D115">
        <f t="shared" si="7"/>
        <v>-2.2949999999999999</v>
      </c>
    </row>
    <row r="116" spans="1:4" x14ac:dyDescent="0.2">
      <c r="A116">
        <v>-0.7</v>
      </c>
      <c r="B116">
        <v>2.5499999999999998</v>
      </c>
      <c r="D116">
        <f t="shared" si="7"/>
        <v>-1.7849999999999997</v>
      </c>
    </row>
    <row r="117" spans="1:4" x14ac:dyDescent="0.2">
      <c r="A117">
        <v>0.62</v>
      </c>
      <c r="B117">
        <v>3.8</v>
      </c>
      <c r="C117">
        <v>2</v>
      </c>
      <c r="D117">
        <f t="shared" si="7"/>
        <v>2.3559999999999999</v>
      </c>
    </row>
    <row r="118" spans="1:4" x14ac:dyDescent="0.2">
      <c r="A118">
        <v>3.11</v>
      </c>
      <c r="B118">
        <v>3.8</v>
      </c>
      <c r="D118">
        <f t="shared" si="7"/>
        <v>11.818</v>
      </c>
    </row>
    <row r="119" spans="1:4" x14ac:dyDescent="0.2">
      <c r="A119">
        <v>-0.7</v>
      </c>
      <c r="B119">
        <v>2.5499999999999998</v>
      </c>
      <c r="D119">
        <f t="shared" si="7"/>
        <v>-1.7849999999999997</v>
      </c>
    </row>
    <row r="120" spans="1:4" x14ac:dyDescent="0.2">
      <c r="A120">
        <v>5.4</v>
      </c>
      <c r="B120">
        <v>3.8</v>
      </c>
      <c r="D120">
        <f t="shared" si="7"/>
        <v>20.52</v>
      </c>
    </row>
    <row r="121" spans="1:4" x14ac:dyDescent="0.2">
      <c r="A121">
        <v>-4.9800000000000004</v>
      </c>
      <c r="B121">
        <v>1.65</v>
      </c>
      <c r="D121">
        <f t="shared" si="7"/>
        <v>-8.2170000000000005</v>
      </c>
    </row>
    <row r="122" spans="1:4" x14ac:dyDescent="0.2">
      <c r="A122" t="s">
        <v>598</v>
      </c>
    </row>
    <row r="123" spans="1:4" x14ac:dyDescent="0.2">
      <c r="A123">
        <v>0.8</v>
      </c>
      <c r="B123">
        <v>16.57</v>
      </c>
      <c r="D123">
        <f t="shared" si="7"/>
        <v>13.256</v>
      </c>
    </row>
    <row r="124" spans="1:4" x14ac:dyDescent="0.2">
      <c r="A124">
        <v>0.48</v>
      </c>
      <c r="B124">
        <v>16.57</v>
      </c>
      <c r="D124">
        <f t="shared" si="7"/>
        <v>7.9535999999999998</v>
      </c>
    </row>
    <row r="125" spans="1:4" x14ac:dyDescent="0.2">
      <c r="A125">
        <v>0.8</v>
      </c>
      <c r="B125">
        <v>16.57</v>
      </c>
      <c r="D125">
        <f t="shared" si="7"/>
        <v>13.256</v>
      </c>
    </row>
    <row r="126" spans="1:4" x14ac:dyDescent="0.2">
      <c r="A126">
        <v>0.48</v>
      </c>
      <c r="B126">
        <v>16.57</v>
      </c>
      <c r="D126">
        <f t="shared" si="7"/>
        <v>7.9535999999999998</v>
      </c>
    </row>
    <row r="127" spans="1:4" x14ac:dyDescent="0.2">
      <c r="A127">
        <v>0.8</v>
      </c>
      <c r="B127">
        <v>11.4</v>
      </c>
      <c r="D127">
        <f t="shared" si="7"/>
        <v>9.120000000000001</v>
      </c>
    </row>
    <row r="128" spans="1:4" x14ac:dyDescent="0.2">
      <c r="A128">
        <v>0.8</v>
      </c>
      <c r="B128">
        <v>11.4</v>
      </c>
      <c r="D128">
        <f t="shared" si="7"/>
        <v>9.120000000000001</v>
      </c>
    </row>
    <row r="129" spans="1:4" x14ac:dyDescent="0.2">
      <c r="A129">
        <v>0.43</v>
      </c>
      <c r="B129">
        <v>11.4</v>
      </c>
      <c r="D129">
        <f t="shared" si="7"/>
        <v>4.9020000000000001</v>
      </c>
    </row>
    <row r="130" spans="1:4" x14ac:dyDescent="0.2">
      <c r="A130">
        <v>0.43</v>
      </c>
      <c r="B130">
        <v>11.4</v>
      </c>
      <c r="D130">
        <f t="shared" si="7"/>
        <v>4.9020000000000001</v>
      </c>
    </row>
    <row r="131" spans="1:4" x14ac:dyDescent="0.2">
      <c r="D131">
        <f>SUM(D4:D130)</f>
        <v>992.10520000000042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28723-14D1-41D1-91C1-C418D767A11F}">
  <sheetPr codeName="Hoja53"/>
  <dimension ref="A1:D143"/>
  <sheetViews>
    <sheetView topLeftCell="A115" workbookViewId="0">
      <selection activeCell="A131" sqref="A131:XFD131"/>
    </sheetView>
  </sheetViews>
  <sheetFormatPr baseColWidth="10" defaultRowHeight="16" x14ac:dyDescent="0.2"/>
  <cols>
    <col min="1" max="1" width="26.5" bestFit="1" customWidth="1"/>
  </cols>
  <sheetData>
    <row r="1" spans="1:4" x14ac:dyDescent="0.2">
      <c r="A1" s="3" t="s">
        <v>228</v>
      </c>
      <c r="B1" s="3"/>
      <c r="C1" s="3"/>
    </row>
    <row r="2" spans="1:4" x14ac:dyDescent="0.2">
      <c r="A2" t="s">
        <v>244</v>
      </c>
    </row>
    <row r="3" spans="1:4" x14ac:dyDescent="0.2">
      <c r="A3" t="s">
        <v>245</v>
      </c>
    </row>
    <row r="4" spans="1:4" x14ac:dyDescent="0.2">
      <c r="A4">
        <v>4.88</v>
      </c>
      <c r="B4">
        <v>2.8</v>
      </c>
      <c r="D4">
        <f>A4*B4</f>
        <v>13.664</v>
      </c>
    </row>
    <row r="5" spans="1:4" x14ac:dyDescent="0.2">
      <c r="A5">
        <v>4.2</v>
      </c>
      <c r="B5">
        <v>2.8</v>
      </c>
      <c r="D5">
        <f t="shared" ref="D5:D23" si="0">A5*B5</f>
        <v>11.76</v>
      </c>
    </row>
    <row r="6" spans="1:4" x14ac:dyDescent="0.2">
      <c r="A6">
        <v>4.71</v>
      </c>
      <c r="B6">
        <v>2.8</v>
      </c>
      <c r="D6">
        <f t="shared" si="0"/>
        <v>13.187999999999999</v>
      </c>
    </row>
    <row r="7" spans="1:4" x14ac:dyDescent="0.2">
      <c r="A7">
        <v>4.71</v>
      </c>
      <c r="B7">
        <v>2.8</v>
      </c>
      <c r="D7">
        <f t="shared" si="0"/>
        <v>13.187999999999999</v>
      </c>
    </row>
    <row r="8" spans="1:4" x14ac:dyDescent="0.2">
      <c r="A8">
        <v>-0.7</v>
      </c>
      <c r="B8">
        <v>2.5499999999999998</v>
      </c>
      <c r="C8">
        <v>2</v>
      </c>
      <c r="D8">
        <f>(A8*B8)*C8</f>
        <v>-3.5699999999999994</v>
      </c>
    </row>
    <row r="9" spans="1:4" x14ac:dyDescent="0.2">
      <c r="A9">
        <v>4.2</v>
      </c>
      <c r="B9">
        <v>2.8</v>
      </c>
      <c r="D9">
        <f t="shared" si="0"/>
        <v>11.76</v>
      </c>
    </row>
    <row r="10" spans="1:4" x14ac:dyDescent="0.2">
      <c r="A10">
        <v>4.57</v>
      </c>
      <c r="B10">
        <v>2.8</v>
      </c>
      <c r="D10">
        <f t="shared" si="0"/>
        <v>12.795999999999999</v>
      </c>
    </row>
    <row r="11" spans="1:4" x14ac:dyDescent="0.2">
      <c r="A11">
        <v>4.5199999999999996</v>
      </c>
      <c r="B11">
        <v>2.8</v>
      </c>
      <c r="D11">
        <f t="shared" si="0"/>
        <v>12.655999999999999</v>
      </c>
    </row>
    <row r="12" spans="1:4" x14ac:dyDescent="0.2">
      <c r="A12">
        <v>3.13</v>
      </c>
      <c r="B12">
        <v>2.8</v>
      </c>
      <c r="D12">
        <f t="shared" si="0"/>
        <v>8.7639999999999993</v>
      </c>
    </row>
    <row r="13" spans="1:4" x14ac:dyDescent="0.2">
      <c r="A13">
        <v>-0.9</v>
      </c>
      <c r="B13">
        <v>2.5499999999999998</v>
      </c>
      <c r="D13">
        <f t="shared" si="0"/>
        <v>-2.2949999999999999</v>
      </c>
    </row>
    <row r="14" spans="1:4" x14ac:dyDescent="0.2">
      <c r="A14">
        <v>2.83</v>
      </c>
      <c r="B14">
        <v>2.8</v>
      </c>
      <c r="D14">
        <f t="shared" si="0"/>
        <v>7.9239999999999995</v>
      </c>
    </row>
    <row r="15" spans="1:4" x14ac:dyDescent="0.2">
      <c r="A15">
        <v>-0.7</v>
      </c>
      <c r="B15">
        <v>2.5499999999999998</v>
      </c>
      <c r="D15">
        <f t="shared" si="0"/>
        <v>-1.7849999999999997</v>
      </c>
    </row>
    <row r="16" spans="1:4" x14ac:dyDescent="0.2">
      <c r="A16">
        <v>3.11</v>
      </c>
      <c r="B16">
        <v>2.8</v>
      </c>
      <c r="D16">
        <f t="shared" si="0"/>
        <v>8.7079999999999984</v>
      </c>
    </row>
    <row r="17" spans="1:4" x14ac:dyDescent="0.2">
      <c r="A17">
        <v>-0.7</v>
      </c>
      <c r="B17">
        <v>2.5499999999999998</v>
      </c>
      <c r="D17">
        <f t="shared" si="0"/>
        <v>-1.7849999999999997</v>
      </c>
    </row>
    <row r="18" spans="1:4" x14ac:dyDescent="0.2">
      <c r="A18">
        <v>0.62</v>
      </c>
      <c r="B18">
        <v>2.8</v>
      </c>
      <c r="D18">
        <f t="shared" si="0"/>
        <v>1.736</v>
      </c>
    </row>
    <row r="19" spans="1:4" x14ac:dyDescent="0.2">
      <c r="A19">
        <v>4.4800000000000004</v>
      </c>
      <c r="B19">
        <v>2.8</v>
      </c>
      <c r="D19">
        <f t="shared" si="0"/>
        <v>12.544</v>
      </c>
    </row>
    <row r="20" spans="1:4" x14ac:dyDescent="0.2">
      <c r="A20">
        <v>3.28</v>
      </c>
      <c r="B20">
        <v>2.8</v>
      </c>
      <c r="D20">
        <f t="shared" si="0"/>
        <v>9.1839999999999993</v>
      </c>
    </row>
    <row r="21" spans="1:4" x14ac:dyDescent="0.2">
      <c r="A21">
        <v>3.28</v>
      </c>
      <c r="B21">
        <v>2.8</v>
      </c>
      <c r="D21">
        <f t="shared" si="0"/>
        <v>9.1839999999999993</v>
      </c>
    </row>
    <row r="22" spans="1:4" x14ac:dyDescent="0.2">
      <c r="A22">
        <v>0.94</v>
      </c>
      <c r="B22">
        <v>2.8</v>
      </c>
      <c r="D22">
        <f t="shared" si="0"/>
        <v>2.6319999999999997</v>
      </c>
    </row>
    <row r="23" spans="1:4" x14ac:dyDescent="0.2">
      <c r="A23">
        <v>4.4800000000000004</v>
      </c>
      <c r="B23">
        <v>2.8</v>
      </c>
      <c r="D23">
        <f t="shared" si="0"/>
        <v>12.544</v>
      </c>
    </row>
    <row r="24" spans="1:4" x14ac:dyDescent="0.2">
      <c r="A24" t="s">
        <v>246</v>
      </c>
    </row>
    <row r="25" spans="1:4" x14ac:dyDescent="0.2">
      <c r="A25">
        <v>6.08</v>
      </c>
      <c r="B25">
        <v>2.8</v>
      </c>
      <c r="C25">
        <v>3</v>
      </c>
      <c r="D25">
        <f>(A25*B25)*C25</f>
        <v>51.071999999999989</v>
      </c>
    </row>
    <row r="26" spans="1:4" x14ac:dyDescent="0.2">
      <c r="A26">
        <v>-0.9</v>
      </c>
      <c r="B26">
        <v>2.5499999999999998</v>
      </c>
      <c r="D26">
        <f t="shared" ref="D26:D31" si="1">A26*B26</f>
        <v>-2.2949999999999999</v>
      </c>
    </row>
    <row r="27" spans="1:4" x14ac:dyDescent="0.2">
      <c r="A27">
        <v>2.54</v>
      </c>
      <c r="B27">
        <v>2.8</v>
      </c>
      <c r="D27">
        <f t="shared" si="1"/>
        <v>7.1119999999999992</v>
      </c>
    </row>
    <row r="28" spans="1:4" x14ac:dyDescent="0.2">
      <c r="A28">
        <v>4.88</v>
      </c>
      <c r="B28">
        <v>2.8</v>
      </c>
      <c r="D28">
        <f t="shared" si="1"/>
        <v>13.664</v>
      </c>
    </row>
    <row r="29" spans="1:4" x14ac:dyDescent="0.2">
      <c r="A29">
        <v>3.28</v>
      </c>
      <c r="B29">
        <v>2.8</v>
      </c>
      <c r="D29">
        <f t="shared" si="1"/>
        <v>9.1839999999999993</v>
      </c>
    </row>
    <row r="30" spans="1:4" x14ac:dyDescent="0.2">
      <c r="A30">
        <v>5.4</v>
      </c>
      <c r="B30">
        <v>2.8</v>
      </c>
      <c r="D30">
        <f t="shared" si="1"/>
        <v>15.12</v>
      </c>
    </row>
    <row r="31" spans="1:4" x14ac:dyDescent="0.2">
      <c r="A31">
        <v>5.38</v>
      </c>
      <c r="B31">
        <v>2.8</v>
      </c>
      <c r="D31">
        <f t="shared" si="1"/>
        <v>15.063999999999998</v>
      </c>
    </row>
    <row r="32" spans="1:4" x14ac:dyDescent="0.2">
      <c r="A32">
        <v>-0.9</v>
      </c>
      <c r="B32">
        <v>2.5499999999999998</v>
      </c>
      <c r="C32">
        <v>3</v>
      </c>
      <c r="D32">
        <f>(A32*B32)*C32</f>
        <v>-6.8849999999999998</v>
      </c>
    </row>
    <row r="33" spans="1:4" x14ac:dyDescent="0.2">
      <c r="A33">
        <v>-1.74</v>
      </c>
      <c r="B33">
        <v>1.65</v>
      </c>
      <c r="D33">
        <f t="shared" ref="D33:D34" si="2">A33*B33</f>
        <v>-2.871</v>
      </c>
    </row>
    <row r="34" spans="1:4" x14ac:dyDescent="0.2">
      <c r="A34">
        <v>5.38</v>
      </c>
      <c r="B34">
        <v>2.8</v>
      </c>
      <c r="D34">
        <f t="shared" si="2"/>
        <v>15.063999999999998</v>
      </c>
    </row>
    <row r="35" spans="1:4" x14ac:dyDescent="0.2">
      <c r="A35">
        <v>-0.9</v>
      </c>
      <c r="B35">
        <v>2.5499999999999998</v>
      </c>
      <c r="C35">
        <v>3</v>
      </c>
      <c r="D35">
        <f>(A35*B35)*C35</f>
        <v>-6.8849999999999998</v>
      </c>
    </row>
    <row r="36" spans="1:4" x14ac:dyDescent="0.2">
      <c r="A36">
        <v>-1.74</v>
      </c>
      <c r="B36">
        <v>1.65</v>
      </c>
      <c r="D36">
        <f t="shared" ref="D36:D37" si="3">A36*B36</f>
        <v>-2.871</v>
      </c>
    </row>
    <row r="37" spans="1:4" x14ac:dyDescent="0.2">
      <c r="A37">
        <v>1.6</v>
      </c>
      <c r="B37">
        <v>2.8</v>
      </c>
      <c r="D37">
        <f t="shared" si="3"/>
        <v>4.4799999999999995</v>
      </c>
    </row>
    <row r="38" spans="1:4" x14ac:dyDescent="0.2">
      <c r="A38" t="s">
        <v>248</v>
      </c>
    </row>
    <row r="39" spans="1:4" x14ac:dyDescent="0.2">
      <c r="A39">
        <v>7.46</v>
      </c>
      <c r="B39">
        <v>2.8</v>
      </c>
      <c r="D39">
        <f t="shared" ref="D39:D58" si="4">A39*B39</f>
        <v>20.887999999999998</v>
      </c>
    </row>
    <row r="40" spans="1:4" x14ac:dyDescent="0.2">
      <c r="A40">
        <v>-0.9</v>
      </c>
      <c r="B40">
        <v>2.5499999999999998</v>
      </c>
      <c r="C40">
        <v>2</v>
      </c>
      <c r="D40">
        <f>(A40*B40)*C40</f>
        <v>-4.59</v>
      </c>
    </row>
    <row r="41" spans="1:4" x14ac:dyDescent="0.2">
      <c r="A41">
        <v>-2.38</v>
      </c>
      <c r="B41">
        <v>1.65</v>
      </c>
      <c r="D41">
        <f t="shared" si="4"/>
        <v>-3.9269999999999996</v>
      </c>
    </row>
    <row r="42" spans="1:4" x14ac:dyDescent="0.2">
      <c r="A42">
        <v>-1.72</v>
      </c>
      <c r="B42">
        <v>1.65</v>
      </c>
      <c r="D42">
        <f t="shared" si="4"/>
        <v>-2.8379999999999996</v>
      </c>
    </row>
    <row r="43" spans="1:4" x14ac:dyDescent="0.2">
      <c r="A43">
        <v>3.44</v>
      </c>
      <c r="B43">
        <v>2.8</v>
      </c>
      <c r="D43">
        <f t="shared" si="4"/>
        <v>9.6319999999999997</v>
      </c>
    </row>
    <row r="44" spans="1:4" x14ac:dyDescent="0.2">
      <c r="A44">
        <v>-2.54</v>
      </c>
      <c r="B44">
        <v>1.65</v>
      </c>
      <c r="D44">
        <f t="shared" si="4"/>
        <v>-4.1909999999999998</v>
      </c>
    </row>
    <row r="45" spans="1:4" x14ac:dyDescent="0.2">
      <c r="A45">
        <v>-0.9</v>
      </c>
      <c r="B45">
        <v>2.5499999999999998</v>
      </c>
      <c r="D45">
        <f t="shared" si="4"/>
        <v>-2.2949999999999999</v>
      </c>
    </row>
    <row r="46" spans="1:4" x14ac:dyDescent="0.2">
      <c r="A46">
        <v>8.7200000000000006</v>
      </c>
      <c r="B46">
        <v>3.8</v>
      </c>
      <c r="D46">
        <f t="shared" si="4"/>
        <v>33.136000000000003</v>
      </c>
    </row>
    <row r="47" spans="1:4" x14ac:dyDescent="0.2">
      <c r="A47">
        <v>-0.9</v>
      </c>
      <c r="B47">
        <v>2.5499999999999998</v>
      </c>
      <c r="C47">
        <v>3</v>
      </c>
      <c r="D47">
        <f>(A47*B47)*C47</f>
        <v>-6.8849999999999998</v>
      </c>
    </row>
    <row r="48" spans="1:4" x14ac:dyDescent="0.2">
      <c r="A48">
        <v>0.7</v>
      </c>
      <c r="B48">
        <v>2.5499999999999998</v>
      </c>
      <c r="D48">
        <f t="shared" si="4"/>
        <v>1.7849999999999997</v>
      </c>
    </row>
    <row r="49" spans="1:4" x14ac:dyDescent="0.2">
      <c r="A49">
        <v>-1.72</v>
      </c>
      <c r="B49">
        <v>1.65</v>
      </c>
      <c r="D49">
        <f t="shared" si="4"/>
        <v>-2.8379999999999996</v>
      </c>
    </row>
    <row r="50" spans="1:4" x14ac:dyDescent="0.2">
      <c r="A50">
        <v>1.2</v>
      </c>
      <c r="B50">
        <v>3.8</v>
      </c>
      <c r="C50">
        <v>4</v>
      </c>
      <c r="D50">
        <f>(A50*B50)*C50</f>
        <v>18.239999999999998</v>
      </c>
    </row>
    <row r="51" spans="1:4" x14ac:dyDescent="0.2">
      <c r="A51">
        <v>2.74</v>
      </c>
      <c r="B51">
        <v>2.8</v>
      </c>
      <c r="D51">
        <f t="shared" si="4"/>
        <v>7.6719999999999997</v>
      </c>
    </row>
    <row r="52" spans="1:4" x14ac:dyDescent="0.2">
      <c r="A52">
        <v>1.18</v>
      </c>
      <c r="B52">
        <v>2.8</v>
      </c>
      <c r="C52">
        <v>2</v>
      </c>
      <c r="D52">
        <f>(A52*B52)*C52</f>
        <v>6.6079999999999997</v>
      </c>
    </row>
    <row r="53" spans="1:4" x14ac:dyDescent="0.2">
      <c r="A53">
        <v>-0.7</v>
      </c>
      <c r="B53">
        <v>2.5499999999999998</v>
      </c>
      <c r="D53">
        <f t="shared" si="4"/>
        <v>-1.7849999999999997</v>
      </c>
    </row>
    <row r="54" spans="1:4" x14ac:dyDescent="0.2">
      <c r="A54">
        <v>2.38</v>
      </c>
      <c r="B54">
        <v>2.8</v>
      </c>
      <c r="D54">
        <f t="shared" si="4"/>
        <v>6.6639999999999997</v>
      </c>
    </row>
    <row r="55" spans="1:4" x14ac:dyDescent="0.2">
      <c r="A55">
        <v>-2.38</v>
      </c>
      <c r="B55">
        <v>1.65</v>
      </c>
      <c r="D55">
        <f t="shared" si="4"/>
        <v>-3.9269999999999996</v>
      </c>
    </row>
    <row r="56" spans="1:4" x14ac:dyDescent="0.2">
      <c r="A56">
        <v>10.7</v>
      </c>
      <c r="B56">
        <v>2.8</v>
      </c>
      <c r="D56">
        <f t="shared" si="4"/>
        <v>29.959999999999997</v>
      </c>
    </row>
    <row r="57" spans="1:4" x14ac:dyDescent="0.2">
      <c r="A57">
        <v>-0.9</v>
      </c>
      <c r="B57">
        <v>2.5499999999999998</v>
      </c>
      <c r="C57">
        <v>3</v>
      </c>
      <c r="D57">
        <f>(A57*B57)*C57</f>
        <v>-6.8849999999999998</v>
      </c>
    </row>
    <row r="58" spans="1:4" x14ac:dyDescent="0.2">
      <c r="A58">
        <v>-1.4</v>
      </c>
      <c r="B58">
        <v>2.5499999999999998</v>
      </c>
      <c r="D58">
        <f t="shared" si="4"/>
        <v>-3.5699999999999994</v>
      </c>
    </row>
    <row r="59" spans="1:4" x14ac:dyDescent="0.2">
      <c r="A59" t="s">
        <v>247</v>
      </c>
    </row>
    <row r="60" spans="1:4" x14ac:dyDescent="0.2">
      <c r="A60">
        <v>1.66</v>
      </c>
      <c r="B60">
        <v>2.8</v>
      </c>
      <c r="C60">
        <v>3</v>
      </c>
      <c r="D60">
        <f>(A60*B60)*C60</f>
        <v>13.943999999999999</v>
      </c>
    </row>
    <row r="61" spans="1:4" x14ac:dyDescent="0.2">
      <c r="A61">
        <v>-0.7</v>
      </c>
      <c r="B61">
        <v>2.5499999999999998</v>
      </c>
      <c r="C61">
        <v>3</v>
      </c>
      <c r="D61">
        <f>(A61*B61)*C61</f>
        <v>-5.3549999999999986</v>
      </c>
    </row>
    <row r="62" spans="1:4" x14ac:dyDescent="0.2">
      <c r="A62">
        <v>2.2599999999999998</v>
      </c>
      <c r="B62">
        <v>3.8</v>
      </c>
      <c r="D62">
        <f t="shared" ref="D62:D76" si="5">A62*B62</f>
        <v>8.5879999999999992</v>
      </c>
    </row>
    <row r="63" spans="1:4" x14ac:dyDescent="0.2">
      <c r="A63">
        <v>2.54</v>
      </c>
      <c r="B63">
        <v>2.8</v>
      </c>
      <c r="D63">
        <f t="shared" si="5"/>
        <v>7.1119999999999992</v>
      </c>
    </row>
    <row r="64" spans="1:4" x14ac:dyDescent="0.2">
      <c r="A64">
        <v>2.72</v>
      </c>
      <c r="B64">
        <v>2.8</v>
      </c>
      <c r="D64">
        <f t="shared" si="5"/>
        <v>7.6159999999999997</v>
      </c>
    </row>
    <row r="65" spans="1:4" x14ac:dyDescent="0.2">
      <c r="A65">
        <v>-0.9</v>
      </c>
      <c r="B65">
        <v>2.5499999999999998</v>
      </c>
      <c r="D65">
        <f t="shared" si="5"/>
        <v>-2.2949999999999999</v>
      </c>
    </row>
    <row r="66" spans="1:4" x14ac:dyDescent="0.2">
      <c r="A66">
        <v>4.78</v>
      </c>
      <c r="B66">
        <v>2.8</v>
      </c>
      <c r="D66">
        <f t="shared" si="5"/>
        <v>13.384</v>
      </c>
    </row>
    <row r="67" spans="1:4" x14ac:dyDescent="0.2">
      <c r="A67">
        <v>-1.4</v>
      </c>
      <c r="B67">
        <v>2.5499999999999998</v>
      </c>
      <c r="D67">
        <f t="shared" si="5"/>
        <v>-3.5699999999999994</v>
      </c>
    </row>
    <row r="68" spans="1:4" x14ac:dyDescent="0.2">
      <c r="A68">
        <v>2.62</v>
      </c>
      <c r="B68">
        <v>2.8</v>
      </c>
      <c r="D68">
        <f t="shared" si="5"/>
        <v>7.3359999999999994</v>
      </c>
    </row>
    <row r="69" spans="1:4" x14ac:dyDescent="0.2">
      <c r="A69">
        <v>0.76</v>
      </c>
      <c r="B69">
        <v>2.8</v>
      </c>
      <c r="C69">
        <v>4</v>
      </c>
      <c r="D69">
        <f>(A69*B69)*C69</f>
        <v>8.5119999999999987</v>
      </c>
    </row>
    <row r="70" spans="1:4" x14ac:dyDescent="0.2">
      <c r="A70">
        <v>1.94</v>
      </c>
      <c r="B70">
        <v>2.8</v>
      </c>
      <c r="D70">
        <f t="shared" si="5"/>
        <v>5.4319999999999995</v>
      </c>
    </row>
    <row r="71" spans="1:4" x14ac:dyDescent="0.2">
      <c r="A71">
        <v>0.8</v>
      </c>
      <c r="B71">
        <v>2.8</v>
      </c>
      <c r="D71">
        <f t="shared" si="5"/>
        <v>2.2399999999999998</v>
      </c>
    </row>
    <row r="72" spans="1:4" x14ac:dyDescent="0.2">
      <c r="A72">
        <v>4.0599999999999996</v>
      </c>
      <c r="B72">
        <v>2.8</v>
      </c>
      <c r="C72">
        <v>3</v>
      </c>
      <c r="D72">
        <f>(A72*B72)*C72</f>
        <v>34.103999999999999</v>
      </c>
    </row>
    <row r="73" spans="1:4" x14ac:dyDescent="0.2">
      <c r="A73">
        <v>3.66</v>
      </c>
      <c r="B73">
        <v>2.8</v>
      </c>
      <c r="D73">
        <f t="shared" si="5"/>
        <v>10.247999999999999</v>
      </c>
    </row>
    <row r="74" spans="1:4" x14ac:dyDescent="0.2">
      <c r="A74">
        <v>6.1</v>
      </c>
      <c r="B74">
        <v>2.8</v>
      </c>
      <c r="D74">
        <f t="shared" si="5"/>
        <v>17.079999999999998</v>
      </c>
    </row>
    <row r="75" spans="1:4" x14ac:dyDescent="0.2">
      <c r="A75">
        <v>-0.9</v>
      </c>
      <c r="B75">
        <v>2.5499999999999998</v>
      </c>
      <c r="D75">
        <f t="shared" si="5"/>
        <v>-2.2949999999999999</v>
      </c>
    </row>
    <row r="76" spans="1:4" x14ac:dyDescent="0.2">
      <c r="A76">
        <v>-1.1499999999999999</v>
      </c>
      <c r="B76">
        <v>1.65</v>
      </c>
      <c r="D76">
        <f t="shared" si="5"/>
        <v>-1.8974999999999997</v>
      </c>
    </row>
    <row r="78" spans="1:4" x14ac:dyDescent="0.2">
      <c r="A78" s="3" t="s">
        <v>236</v>
      </c>
      <c r="B78" s="3"/>
      <c r="C78" s="3"/>
    </row>
    <row r="79" spans="1:4" x14ac:dyDescent="0.2">
      <c r="A79" t="s">
        <v>249</v>
      </c>
    </row>
    <row r="80" spans="1:4" x14ac:dyDescent="0.2">
      <c r="A80">
        <v>7.46</v>
      </c>
      <c r="B80">
        <v>2.8</v>
      </c>
      <c r="D80">
        <f t="shared" ref="D80:D101" si="6">A80*B80</f>
        <v>20.887999999999998</v>
      </c>
    </row>
    <row r="81" spans="1:4" x14ac:dyDescent="0.2">
      <c r="A81">
        <v>-3</v>
      </c>
      <c r="B81">
        <v>1.65</v>
      </c>
      <c r="D81">
        <f t="shared" si="6"/>
        <v>-4.9499999999999993</v>
      </c>
    </row>
    <row r="82" spans="1:4" x14ac:dyDescent="0.2">
      <c r="A82">
        <v>-0.9</v>
      </c>
      <c r="B82">
        <v>2.5499999999999998</v>
      </c>
      <c r="D82">
        <f t="shared" si="6"/>
        <v>-2.2949999999999999</v>
      </c>
    </row>
    <row r="83" spans="1:4" x14ac:dyDescent="0.2">
      <c r="A83">
        <v>-2</v>
      </c>
      <c r="B83">
        <v>1.65</v>
      </c>
      <c r="D83">
        <f t="shared" si="6"/>
        <v>-3.3</v>
      </c>
    </row>
    <row r="84" spans="1:4" x14ac:dyDescent="0.2">
      <c r="A84">
        <v>-0.7</v>
      </c>
      <c r="B84">
        <v>2.5499999999999998</v>
      </c>
      <c r="D84">
        <f t="shared" si="6"/>
        <v>-1.7849999999999997</v>
      </c>
    </row>
    <row r="85" spans="1:4" x14ac:dyDescent="0.2">
      <c r="A85">
        <v>0.6</v>
      </c>
      <c r="B85">
        <v>2.8</v>
      </c>
      <c r="D85">
        <f t="shared" si="6"/>
        <v>1.68</v>
      </c>
    </row>
    <row r="86" spans="1:4" x14ac:dyDescent="0.2">
      <c r="A86">
        <v>1.2</v>
      </c>
      <c r="B86">
        <v>2.8</v>
      </c>
      <c r="C86">
        <v>2</v>
      </c>
      <c r="D86">
        <f>(A86*B86)*C86</f>
        <v>6.72</v>
      </c>
    </row>
    <row r="87" spans="1:4" x14ac:dyDescent="0.2">
      <c r="A87">
        <v>3.44</v>
      </c>
      <c r="B87">
        <v>2.8</v>
      </c>
      <c r="D87">
        <f t="shared" si="6"/>
        <v>9.6319999999999997</v>
      </c>
    </row>
    <row r="88" spans="1:4" x14ac:dyDescent="0.2">
      <c r="A88">
        <v>-3.44</v>
      </c>
      <c r="B88">
        <v>2.5499999999999998</v>
      </c>
      <c r="D88">
        <f t="shared" si="6"/>
        <v>-8.7719999999999985</v>
      </c>
    </row>
    <row r="89" spans="1:4" x14ac:dyDescent="0.2">
      <c r="A89">
        <v>1.2</v>
      </c>
      <c r="B89">
        <v>2.8</v>
      </c>
      <c r="D89">
        <f t="shared" si="6"/>
        <v>3.36</v>
      </c>
    </row>
    <row r="90" spans="1:4" x14ac:dyDescent="0.2">
      <c r="A90">
        <v>12.36</v>
      </c>
      <c r="B90">
        <v>2.8</v>
      </c>
      <c r="D90">
        <f t="shared" si="6"/>
        <v>34.607999999999997</v>
      </c>
    </row>
    <row r="91" spans="1:4" x14ac:dyDescent="0.2">
      <c r="A91">
        <v>-0.7</v>
      </c>
      <c r="B91">
        <v>2.5499999999999998</v>
      </c>
      <c r="D91">
        <f t="shared" si="6"/>
        <v>-1.7849999999999997</v>
      </c>
    </row>
    <row r="92" spans="1:4" x14ac:dyDescent="0.2">
      <c r="A92">
        <v>-0.9</v>
      </c>
      <c r="B92">
        <v>2.5499999999999998</v>
      </c>
      <c r="C92">
        <v>3</v>
      </c>
      <c r="D92">
        <f>(A92*B92)*C92</f>
        <v>-6.8849999999999998</v>
      </c>
    </row>
    <row r="93" spans="1:4" x14ac:dyDescent="0.2">
      <c r="A93">
        <v>-2.5499999999999998</v>
      </c>
      <c r="B93">
        <v>1.65</v>
      </c>
      <c r="D93">
        <f t="shared" si="6"/>
        <v>-4.2074999999999996</v>
      </c>
    </row>
    <row r="94" spans="1:4" x14ac:dyDescent="0.2">
      <c r="A94">
        <v>1.18</v>
      </c>
      <c r="B94">
        <v>2.8</v>
      </c>
      <c r="C94">
        <v>2</v>
      </c>
      <c r="D94">
        <f t="shared" si="6"/>
        <v>3.3039999999999998</v>
      </c>
    </row>
    <row r="95" spans="1:4" x14ac:dyDescent="0.2">
      <c r="A95">
        <v>-0.7</v>
      </c>
      <c r="B95">
        <v>2.5499999999999998</v>
      </c>
      <c r="D95">
        <f t="shared" si="6"/>
        <v>-1.7849999999999997</v>
      </c>
    </row>
    <row r="96" spans="1:4" x14ac:dyDescent="0.2">
      <c r="A96">
        <v>2.38</v>
      </c>
      <c r="B96">
        <v>2.8</v>
      </c>
      <c r="D96">
        <f t="shared" si="6"/>
        <v>6.6639999999999997</v>
      </c>
    </row>
    <row r="97" spans="1:4" x14ac:dyDescent="0.2">
      <c r="A97">
        <v>-2.38</v>
      </c>
      <c r="B97">
        <v>1.65</v>
      </c>
      <c r="D97">
        <f t="shared" si="6"/>
        <v>-3.9269999999999996</v>
      </c>
    </row>
    <row r="98" spans="1:4" x14ac:dyDescent="0.2">
      <c r="A98" t="s">
        <v>250</v>
      </c>
    </row>
    <row r="99" spans="1:4" x14ac:dyDescent="0.2">
      <c r="A99">
        <v>14</v>
      </c>
      <c r="B99">
        <v>2.8</v>
      </c>
      <c r="D99">
        <f t="shared" si="6"/>
        <v>39.199999999999996</v>
      </c>
    </row>
    <row r="100" spans="1:4" x14ac:dyDescent="0.2">
      <c r="A100">
        <v>-6.1</v>
      </c>
      <c r="B100">
        <v>2.5499999999999998</v>
      </c>
      <c r="D100">
        <f t="shared" si="6"/>
        <v>-15.554999999999998</v>
      </c>
    </row>
    <row r="101" spans="1:4" x14ac:dyDescent="0.2">
      <c r="A101">
        <v>-7.5</v>
      </c>
      <c r="B101">
        <v>2.5499999999999998</v>
      </c>
      <c r="D101">
        <f t="shared" si="6"/>
        <v>-19.125</v>
      </c>
    </row>
    <row r="103" spans="1:4" x14ac:dyDescent="0.2">
      <c r="A103" t="s">
        <v>251</v>
      </c>
    </row>
    <row r="104" spans="1:4" x14ac:dyDescent="0.2">
      <c r="A104">
        <v>4.88</v>
      </c>
      <c r="B104">
        <v>2.8</v>
      </c>
      <c r="D104">
        <f t="shared" ref="D104:D121" si="7">A104*B104</f>
        <v>13.664</v>
      </c>
    </row>
    <row r="105" spans="1:4" x14ac:dyDescent="0.2">
      <c r="A105">
        <v>4.5999999999999996</v>
      </c>
      <c r="B105">
        <v>2.8</v>
      </c>
      <c r="D105">
        <f t="shared" si="7"/>
        <v>12.879999999999999</v>
      </c>
    </row>
    <row r="106" spans="1:4" x14ac:dyDescent="0.2">
      <c r="A106">
        <v>4.82</v>
      </c>
      <c r="B106">
        <v>2.8</v>
      </c>
      <c r="D106">
        <f t="shared" si="7"/>
        <v>13.496</v>
      </c>
    </row>
    <row r="107" spans="1:4" x14ac:dyDescent="0.2">
      <c r="A107">
        <v>-0.7</v>
      </c>
      <c r="B107">
        <v>2.5499999999999998</v>
      </c>
      <c r="C107">
        <v>2</v>
      </c>
      <c r="D107">
        <f t="shared" si="7"/>
        <v>-1.7849999999999997</v>
      </c>
    </row>
    <row r="108" spans="1:4" x14ac:dyDescent="0.2">
      <c r="A108">
        <v>4.71</v>
      </c>
      <c r="B108">
        <v>2.8</v>
      </c>
      <c r="D108">
        <f t="shared" si="7"/>
        <v>13.187999999999999</v>
      </c>
    </row>
    <row r="109" spans="1:4" x14ac:dyDescent="0.2">
      <c r="A109">
        <v>4.68</v>
      </c>
      <c r="B109">
        <v>2.8</v>
      </c>
      <c r="D109">
        <f t="shared" si="7"/>
        <v>13.103999999999999</v>
      </c>
    </row>
    <row r="110" spans="1:4" x14ac:dyDescent="0.2">
      <c r="A110">
        <v>-0.7</v>
      </c>
      <c r="B110">
        <v>2.5499999999999998</v>
      </c>
      <c r="D110">
        <f t="shared" si="7"/>
        <v>-1.7849999999999997</v>
      </c>
    </row>
    <row r="111" spans="1:4" x14ac:dyDescent="0.2">
      <c r="A111">
        <v>4.2</v>
      </c>
      <c r="B111">
        <v>2.8</v>
      </c>
      <c r="D111">
        <f t="shared" si="7"/>
        <v>11.76</v>
      </c>
    </row>
    <row r="112" spans="1:4" x14ac:dyDescent="0.2">
      <c r="A112">
        <v>4.57</v>
      </c>
      <c r="B112">
        <v>2.8</v>
      </c>
      <c r="D112">
        <f t="shared" si="7"/>
        <v>12.795999999999999</v>
      </c>
    </row>
    <row r="113" spans="1:4" x14ac:dyDescent="0.2">
      <c r="A113">
        <v>4.4000000000000004</v>
      </c>
      <c r="B113">
        <v>2.8</v>
      </c>
      <c r="D113">
        <f t="shared" si="7"/>
        <v>12.32</v>
      </c>
    </row>
    <row r="114" spans="1:4" x14ac:dyDescent="0.2">
      <c r="A114">
        <v>4.2</v>
      </c>
      <c r="B114">
        <v>2.8</v>
      </c>
      <c r="D114">
        <f t="shared" si="7"/>
        <v>11.76</v>
      </c>
    </row>
    <row r="115" spans="1:4" x14ac:dyDescent="0.2">
      <c r="A115">
        <v>-0.9</v>
      </c>
      <c r="B115">
        <v>2.5499999999999998</v>
      </c>
      <c r="D115">
        <f t="shared" si="7"/>
        <v>-2.2949999999999999</v>
      </c>
    </row>
    <row r="116" spans="1:4" x14ac:dyDescent="0.2">
      <c r="A116">
        <v>-0.7</v>
      </c>
      <c r="B116">
        <v>2.5499999999999998</v>
      </c>
      <c r="D116">
        <f t="shared" si="7"/>
        <v>-1.7849999999999997</v>
      </c>
    </row>
    <row r="117" spans="1:4" x14ac:dyDescent="0.2">
      <c r="A117">
        <v>0.62</v>
      </c>
      <c r="B117">
        <v>2.8</v>
      </c>
      <c r="C117">
        <v>2</v>
      </c>
      <c r="D117">
        <f t="shared" si="7"/>
        <v>1.736</v>
      </c>
    </row>
    <row r="118" spans="1:4" x14ac:dyDescent="0.2">
      <c r="A118">
        <v>3.11</v>
      </c>
      <c r="B118">
        <v>2.8</v>
      </c>
      <c r="D118">
        <f t="shared" si="7"/>
        <v>8.7079999999999984</v>
      </c>
    </row>
    <row r="119" spans="1:4" x14ac:dyDescent="0.2">
      <c r="A119">
        <v>-0.7</v>
      </c>
      <c r="B119">
        <v>2.5499999999999998</v>
      </c>
      <c r="D119">
        <f t="shared" si="7"/>
        <v>-1.7849999999999997</v>
      </c>
    </row>
    <row r="120" spans="1:4" x14ac:dyDescent="0.2">
      <c r="A120">
        <v>5.4</v>
      </c>
      <c r="B120">
        <v>2.8</v>
      </c>
      <c r="D120">
        <f t="shared" si="7"/>
        <v>15.12</v>
      </c>
    </row>
    <row r="121" spans="1:4" x14ac:dyDescent="0.2">
      <c r="A121">
        <v>-4.9800000000000004</v>
      </c>
      <c r="B121">
        <v>1.65</v>
      </c>
      <c r="D121">
        <f t="shared" si="7"/>
        <v>-8.2170000000000005</v>
      </c>
    </row>
    <row r="122" spans="1:4" x14ac:dyDescent="0.2">
      <c r="A122" t="s">
        <v>598</v>
      </c>
    </row>
    <row r="123" spans="1:4" x14ac:dyDescent="0.2">
      <c r="A123">
        <v>0.8</v>
      </c>
      <c r="B123">
        <v>16.57</v>
      </c>
      <c r="D123">
        <f t="shared" ref="D123:D130" si="8">A123*B123</f>
        <v>13.256</v>
      </c>
    </row>
    <row r="124" spans="1:4" x14ac:dyDescent="0.2">
      <c r="A124">
        <v>0.48</v>
      </c>
      <c r="B124">
        <v>16.57</v>
      </c>
      <c r="D124">
        <f t="shared" si="8"/>
        <v>7.9535999999999998</v>
      </c>
    </row>
    <row r="125" spans="1:4" x14ac:dyDescent="0.2">
      <c r="A125">
        <v>0.8</v>
      </c>
      <c r="B125">
        <v>16.57</v>
      </c>
      <c r="D125">
        <f t="shared" si="8"/>
        <v>13.256</v>
      </c>
    </row>
    <row r="126" spans="1:4" x14ac:dyDescent="0.2">
      <c r="A126">
        <v>0.48</v>
      </c>
      <c r="B126">
        <v>16.57</v>
      </c>
      <c r="D126">
        <f t="shared" si="8"/>
        <v>7.9535999999999998</v>
      </c>
    </row>
    <row r="127" spans="1:4" x14ac:dyDescent="0.2">
      <c r="A127">
        <v>0.8</v>
      </c>
      <c r="B127">
        <v>11.4</v>
      </c>
      <c r="D127">
        <f t="shared" si="8"/>
        <v>9.120000000000001</v>
      </c>
    </row>
    <row r="128" spans="1:4" x14ac:dyDescent="0.2">
      <c r="A128">
        <v>0.8</v>
      </c>
      <c r="B128">
        <v>11.4</v>
      </c>
      <c r="D128">
        <f t="shared" si="8"/>
        <v>9.120000000000001</v>
      </c>
    </row>
    <row r="129" spans="1:4" x14ac:dyDescent="0.2">
      <c r="A129">
        <v>0.43</v>
      </c>
      <c r="B129">
        <v>11.4</v>
      </c>
      <c r="D129">
        <f t="shared" si="8"/>
        <v>4.9020000000000001</v>
      </c>
    </row>
    <row r="130" spans="1:4" x14ac:dyDescent="0.2">
      <c r="A130">
        <v>0.43</v>
      </c>
      <c r="B130">
        <v>11.4</v>
      </c>
      <c r="D130">
        <f t="shared" si="8"/>
        <v>4.9020000000000001</v>
      </c>
    </row>
    <row r="132" spans="1:4" x14ac:dyDescent="0.2">
      <c r="D132">
        <f>SUM(D4:D131)</f>
        <v>717.81520000000057</v>
      </c>
    </row>
    <row r="134" spans="1:4" x14ac:dyDescent="0.2">
      <c r="A134" t="s">
        <v>257</v>
      </c>
    </row>
    <row r="135" spans="1:4" x14ac:dyDescent="0.2">
      <c r="A135" s="3" t="s">
        <v>228</v>
      </c>
      <c r="B135" s="3"/>
      <c r="C135" s="3"/>
      <c r="D135" s="3"/>
    </row>
    <row r="136" spans="1:4" x14ac:dyDescent="0.2">
      <c r="A136" t="s">
        <v>245</v>
      </c>
      <c r="D136">
        <v>24</v>
      </c>
    </row>
    <row r="137" spans="1:4" x14ac:dyDescent="0.2">
      <c r="A137" t="s">
        <v>246</v>
      </c>
      <c r="D137">
        <v>10</v>
      </c>
    </row>
    <row r="138" spans="1:4" x14ac:dyDescent="0.2">
      <c r="A138" t="s">
        <v>258</v>
      </c>
      <c r="D138">
        <v>12</v>
      </c>
    </row>
    <row r="139" spans="1:4" x14ac:dyDescent="0.2">
      <c r="A139" t="s">
        <v>251</v>
      </c>
      <c r="D139">
        <v>18</v>
      </c>
    </row>
    <row r="140" spans="1:4" x14ac:dyDescent="0.2">
      <c r="A140" s="3" t="s">
        <v>236</v>
      </c>
      <c r="B140" s="3"/>
      <c r="C140" s="3"/>
      <c r="D140" s="3"/>
    </row>
    <row r="141" spans="1:4" x14ac:dyDescent="0.2">
      <c r="A141" t="s">
        <v>259</v>
      </c>
      <c r="D141">
        <v>44</v>
      </c>
    </row>
    <row r="142" spans="1:4" x14ac:dyDescent="0.2">
      <c r="D142">
        <f>SUM(D136:D141)</f>
        <v>108</v>
      </c>
    </row>
    <row r="143" spans="1:4" x14ac:dyDescent="0.2">
      <c r="D143">
        <f>D142*2.55</f>
        <v>275.39999999999998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F3439-8A33-47A9-AA08-8E57CF9FD390}">
  <sheetPr codeName="Hoja54"/>
  <dimension ref="A1:E7"/>
  <sheetViews>
    <sheetView workbookViewId="0">
      <selection activeCell="D578" sqref="D578"/>
    </sheetView>
  </sheetViews>
  <sheetFormatPr baseColWidth="10" defaultRowHeight="16" x14ac:dyDescent="0.2"/>
  <cols>
    <col min="1" max="1" width="27" style="5" bestFit="1" customWidth="1"/>
    <col min="2" max="2" width="11" style="5"/>
    <col min="3" max="3" width="22.1640625" style="5" bestFit="1" customWidth="1"/>
    <col min="4" max="4" width="11" style="5"/>
  </cols>
  <sheetData>
    <row r="1" spans="1:5" x14ac:dyDescent="0.2">
      <c r="A1" s="5" t="s">
        <v>261</v>
      </c>
      <c r="B1" s="5" t="s">
        <v>262</v>
      </c>
      <c r="C1" s="5" t="s">
        <v>264</v>
      </c>
      <c r="D1" s="5" t="s">
        <v>263</v>
      </c>
      <c r="E1" s="5" t="s">
        <v>265</v>
      </c>
    </row>
    <row r="2" spans="1:5" x14ac:dyDescent="0.2">
      <c r="B2" s="5">
        <f>'MUROS BLOQUE CONCRETO'!B3+'MUROS BLOQUE CONCRETO'!B4+'MUROS BLOQUE CONCRETO'!B5+'MUROS BLOQUE CONCRETO'!B6+'MUROS BLOQUE CONCRETO'!B8+'MUROS BLOQUE CONCRETO'!B9+'MUROS BLOQUE CONCRETO'!B11+'MUROS BLOQUE CONCRETO'!B12+'MUROS BLOQUE CONCRETO'!B13+'MUROS BLOQUE CONCRETO'!B14+'MUROS BLOQUE CONCRETO'!B15+'MUROS BLOQUE CONCRETO'!B17+'MUROS BLOQUE CONCRETO'!B18+'MUROS BLOQUE CONCRETO'!B19+'MUROS BLOQUE CONCRETO'!B20+'MUROS BLOQUE CONCRETO'!B21</f>
        <v>117.07999999999998</v>
      </c>
      <c r="C2" s="5">
        <f>B2/3</f>
        <v>39.026666666666664</v>
      </c>
      <c r="D2" s="5">
        <v>3.8</v>
      </c>
      <c r="E2">
        <f>C2*D2</f>
        <v>148.3013333333333</v>
      </c>
    </row>
    <row r="3" spans="1:5" x14ac:dyDescent="0.2">
      <c r="A3" s="5" t="s">
        <v>271</v>
      </c>
      <c r="B3" s="5">
        <f>'MUROS BLOQUE CONCRETO'!B25+'MUROS BLOQUE CONCRETO'!B26+'MUROS BLOQUE CONCRETO'!B27+'MUROS BLOQUE CONCRETO'!B28+'MUROS BLOQUE CONCRETO'!B29+'MUROS BLOQUE CONCRETO'!B30+'MUROS BLOQUE CONCRETO'!B31+'MUROS BLOQUE CONCRETO'!B32+'MUROS BLOQUE CONCRETO'!B34+'MUROS BLOQUE CONCRETO'!B35+'MUROS BLOQUE CONCRETO'!B36+'MUROS BLOQUE CONCRETO'!B37+'MUROS BLOQUE CONCRETO'!B38+'MUROS BLOQUE CONCRETO'!B39+'MUROS BLOQUE CONCRETO'!B41+'MUROS BLOQUE CONCRETO'!B42+'MUROS BLOQUE CONCRETO'!B44+'MUROS BLOQUE CONCRETO'!B45+'MUROS BLOQUE CONCRETO'!B46+'MUROS BLOQUE CONCRETO'!B47+'MUROS BLOQUE CONCRETO'!B48+'MUROS BLOQUE CONCRETO'!B50</f>
        <v>144.21</v>
      </c>
      <c r="C3" s="5">
        <f t="shared" ref="C3:C6" si="0">B3/3</f>
        <v>48.07</v>
      </c>
      <c r="D3" s="5">
        <v>3.8</v>
      </c>
      <c r="E3">
        <f>C3*D3</f>
        <v>182.666</v>
      </c>
    </row>
    <row r="4" spans="1:5" x14ac:dyDescent="0.2">
      <c r="A4" s="5" t="s">
        <v>272</v>
      </c>
      <c r="B4" s="5">
        <f>'MUROS BLOQUE CONCRETO'!B54+'MUROS BLOQUE CONCRETO'!B55+'MUROS BLOQUE CONCRETO'!B56+'MUROS BLOQUE CONCRETO'!B57+'MUROS BLOQUE CONCRETO'!B58+'MUROS BLOQUE CONCRETO'!B59+'MUROS BLOQUE CONCRETO'!B60+'MUROS BLOQUE CONCRETO'!B61+'MUROS BLOQUE CONCRETO'!B62+'MUROS BLOQUE CONCRETO'!B63+'MUROS BLOQUE CONCRETO'!B65+'MUROS BLOQUE CONCRETO'!B66+'MUROS BLOQUE CONCRETO'!B67+'MUROS BLOQUE CONCRETO'!B69+'MUROS BLOQUE CONCRETO'!B70+'MUROS BLOQUE CONCRETO'!B71</f>
        <v>134.95999999999998</v>
      </c>
      <c r="C4" s="5">
        <f t="shared" si="0"/>
        <v>44.986666666666657</v>
      </c>
      <c r="D4" s="5">
        <v>3.8</v>
      </c>
      <c r="E4">
        <f>C4*D4</f>
        <v>170.9493333333333</v>
      </c>
    </row>
    <row r="5" spans="1:5" x14ac:dyDescent="0.2">
      <c r="A5" s="5" t="s">
        <v>239</v>
      </c>
      <c r="B5" s="5">
        <f>'MUROS BLOQUE CONCRETO'!B75+'MUROS BLOQUE CONCRETO'!B76+'MUROS BLOQUE CONCRETO'!B77+'MUROS BLOQUE CONCRETO'!B78+'MUROS BLOQUE CONCRETO'!B79+'MUROS BLOQUE CONCRETO'!B80+'MUROS BLOQUE CONCRETO'!B81+'MUROS BLOQUE CONCRETO'!B82+'MUROS BLOQUE CONCRETO'!B83</f>
        <v>109.53999999999999</v>
      </c>
      <c r="C5" s="5">
        <f t="shared" si="0"/>
        <v>36.513333333333328</v>
      </c>
      <c r="D5" s="5">
        <v>0.9</v>
      </c>
      <c r="E5">
        <f>C5*D5</f>
        <v>32.861999999999995</v>
      </c>
    </row>
    <row r="6" spans="1:5" x14ac:dyDescent="0.2">
      <c r="A6" s="5" t="s">
        <v>266</v>
      </c>
      <c r="B6" s="5">
        <f>'MUROS BLOQUE CONCRETO'!B76+'MUROS BLOQUE CONCRETO'!B77+'MUROS BLOQUE CONCRETO'!B78+'MUROS BLOQUE CONCRETO'!B79+'MUROS BLOQUE CONCRETO'!B80+'MUROS BLOQUE CONCRETO'!B81+'MUROS BLOQUE CONCRETO'!B82+'MUROS BLOQUE CONCRETO'!B83+'MUROS BLOQUE CONCRETO'!B84</f>
        <v>91.09</v>
      </c>
      <c r="C6" s="5">
        <f t="shared" si="0"/>
        <v>30.363333333333333</v>
      </c>
      <c r="D6" s="5">
        <v>3.8</v>
      </c>
      <c r="E6">
        <f>C6*D6</f>
        <v>115.38066666666666</v>
      </c>
    </row>
    <row r="7" spans="1:5" x14ac:dyDescent="0.2">
      <c r="D7" s="5" t="s">
        <v>267</v>
      </c>
      <c r="E7">
        <f>SUM(E2:E6)</f>
        <v>650.15933333333328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A5B18-6D58-43F0-8D36-A1A691B613A5}">
  <sheetPr codeName="Hoja55"/>
  <dimension ref="A1:B8"/>
  <sheetViews>
    <sheetView workbookViewId="0">
      <selection activeCell="D578" sqref="D578"/>
    </sheetView>
  </sheetViews>
  <sheetFormatPr baseColWidth="10" defaultRowHeight="16" x14ac:dyDescent="0.2"/>
  <cols>
    <col min="1" max="1" width="27" bestFit="1" customWidth="1"/>
  </cols>
  <sheetData>
    <row r="1" spans="1:2" x14ac:dyDescent="0.2">
      <c r="A1" s="6" t="s">
        <v>268</v>
      </c>
      <c r="B1" s="5" t="s">
        <v>262</v>
      </c>
    </row>
    <row r="2" spans="1:2" x14ac:dyDescent="0.2">
      <c r="A2" s="6"/>
      <c r="B2" s="5">
        <f>'MUROS BLOQUE CONCRETO'!B3+'MUROS BLOQUE CONCRETO'!B4+'MUROS BLOQUE CONCRETO'!B5+'MUROS BLOQUE CONCRETO'!B6+'MUROS BLOQUE CONCRETO'!B8+'MUROS BLOQUE CONCRETO'!B9+'MUROS BLOQUE CONCRETO'!B11+'MUROS BLOQUE CONCRETO'!B12+'MUROS BLOQUE CONCRETO'!B13+'MUROS BLOQUE CONCRETO'!B14+'MUROS BLOQUE CONCRETO'!B15+'MUROS BLOQUE CONCRETO'!B17+'MUROS BLOQUE CONCRETO'!B18+'MUROS BLOQUE CONCRETO'!B19+'MUROS BLOQUE CONCRETO'!B20+'MUROS BLOQUE CONCRETO'!B21</f>
        <v>117.07999999999998</v>
      </c>
    </row>
    <row r="3" spans="1:2" x14ac:dyDescent="0.2">
      <c r="A3" s="6" t="s">
        <v>269</v>
      </c>
      <c r="B3" s="5">
        <f>'MUROS BLOQUE CONCRETO'!B25+'MUROS BLOQUE CONCRETO'!B26+'MUROS BLOQUE CONCRETO'!B27+'MUROS BLOQUE CONCRETO'!B28+'MUROS BLOQUE CONCRETO'!B29+'MUROS BLOQUE CONCRETO'!B30+'MUROS BLOQUE CONCRETO'!B31+'MUROS BLOQUE CONCRETO'!B32+'MUROS BLOQUE CONCRETO'!B34+'MUROS BLOQUE CONCRETO'!B35+'MUROS BLOQUE CONCRETO'!B36+'MUROS BLOQUE CONCRETO'!B37+'MUROS BLOQUE CONCRETO'!B38+'MUROS BLOQUE CONCRETO'!B39+'MUROS BLOQUE CONCRETO'!B41+'MUROS BLOQUE CONCRETO'!B42+'MUROS BLOQUE CONCRETO'!B44+'MUROS BLOQUE CONCRETO'!B45+'MUROS BLOQUE CONCRETO'!B46+'MUROS BLOQUE CONCRETO'!B47+'MUROS BLOQUE CONCRETO'!B48+'MUROS BLOQUE CONCRETO'!B50</f>
        <v>144.21</v>
      </c>
    </row>
    <row r="4" spans="1:2" x14ac:dyDescent="0.2">
      <c r="A4" s="6" t="s">
        <v>270</v>
      </c>
      <c r="B4" s="5">
        <f>'MUROS BLOQUE CONCRETO'!B54+'MUROS BLOQUE CONCRETO'!B55+'MUROS BLOQUE CONCRETO'!B56+'MUROS BLOQUE CONCRETO'!B57+'MUROS BLOQUE CONCRETO'!B58+'MUROS BLOQUE CONCRETO'!B59+'MUROS BLOQUE CONCRETO'!B60+'MUROS BLOQUE CONCRETO'!B61+'MUROS BLOQUE CONCRETO'!B62+'MUROS BLOQUE CONCRETO'!B63+'MUROS BLOQUE CONCRETO'!B65+'MUROS BLOQUE CONCRETO'!B66+'MUROS BLOQUE CONCRETO'!B67+'MUROS BLOQUE CONCRETO'!B69+'MUROS BLOQUE CONCRETO'!B70+'MUROS BLOQUE CONCRETO'!B71</f>
        <v>134.95999999999998</v>
      </c>
    </row>
    <row r="5" spans="1:2" x14ac:dyDescent="0.2">
      <c r="A5" s="6" t="s">
        <v>239</v>
      </c>
      <c r="B5" s="5">
        <f>'MUROS BLOQUE CONCRETO'!B75+'MUROS BLOQUE CONCRETO'!B76+'MUROS BLOQUE CONCRETO'!B77+'MUROS BLOQUE CONCRETO'!B78+'MUROS BLOQUE CONCRETO'!B79+'MUROS BLOQUE CONCRETO'!B80+'MUROS BLOQUE CONCRETO'!B81+'MUROS BLOQUE CONCRETO'!B82+'MUROS BLOQUE CONCRETO'!B83</f>
        <v>109.53999999999999</v>
      </c>
    </row>
    <row r="6" spans="1:2" x14ac:dyDescent="0.2">
      <c r="A6" s="6" t="s">
        <v>266</v>
      </c>
      <c r="B6" s="5">
        <f>'MUROS BLOQUE CONCRETO'!B76+'MUROS BLOQUE CONCRETO'!B77+'MUROS BLOQUE CONCRETO'!B78+'MUROS BLOQUE CONCRETO'!B79+'MUROS BLOQUE CONCRETO'!B80+'MUROS BLOQUE CONCRETO'!B81+'MUROS BLOQUE CONCRETO'!B82+'MUROS BLOQUE CONCRETO'!B83+'MUROS BLOQUE CONCRETO'!B84</f>
        <v>91.09</v>
      </c>
    </row>
    <row r="8" spans="1:2" x14ac:dyDescent="0.2">
      <c r="A8" s="6" t="s">
        <v>273</v>
      </c>
      <c r="B8">
        <f>SUM(B2:B7)</f>
        <v>596.88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2010B-91A9-442A-A667-3DC50AC66A6A}">
  <sheetPr codeName="Hoja2"/>
  <dimension ref="A1:D5"/>
  <sheetViews>
    <sheetView workbookViewId="0">
      <selection activeCell="B8" sqref="B8"/>
    </sheetView>
  </sheetViews>
  <sheetFormatPr baseColWidth="10" defaultRowHeight="16" x14ac:dyDescent="0.2"/>
  <cols>
    <col min="1" max="1" width="31.33203125" bestFit="1" customWidth="1"/>
    <col min="2" max="2" width="11" style="5"/>
  </cols>
  <sheetData>
    <row r="1" spans="1:4" x14ac:dyDescent="0.2">
      <c r="B1" s="5" t="s">
        <v>8</v>
      </c>
    </row>
    <row r="2" spans="1:4" x14ac:dyDescent="0.2">
      <c r="A2" t="s">
        <v>636</v>
      </c>
      <c r="B2" s="5">
        <v>603.67999999999995</v>
      </c>
    </row>
    <row r="3" spans="1:4" x14ac:dyDescent="0.2">
      <c r="A3" t="s">
        <v>635</v>
      </c>
      <c r="B3" s="5">
        <f>B2*C3</f>
        <v>120.73599999999999</v>
      </c>
      <c r="C3">
        <v>0.2</v>
      </c>
    </row>
    <row r="5" spans="1:4" x14ac:dyDescent="0.2">
      <c r="A5" t="s">
        <v>637</v>
      </c>
      <c r="B5" s="5">
        <f>B3</f>
        <v>120.73599999999999</v>
      </c>
      <c r="C5" s="31">
        <v>0.3</v>
      </c>
      <c r="D5">
        <f>B5*C5+B5</f>
        <v>156.95679999999999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AB09B-8882-4B6D-86C1-CA68EDCEEADA}">
  <sheetPr codeName="Hoja56"/>
  <dimension ref="A1:E8"/>
  <sheetViews>
    <sheetView workbookViewId="0">
      <selection activeCell="D578" sqref="D578"/>
    </sheetView>
  </sheetViews>
  <sheetFormatPr baseColWidth="10" defaultRowHeight="16" x14ac:dyDescent="0.2"/>
  <cols>
    <col min="1" max="1" width="17.6640625" style="5" bestFit="1" customWidth="1"/>
    <col min="2" max="2" width="11" style="5"/>
    <col min="5" max="5" width="14.33203125" customWidth="1"/>
  </cols>
  <sheetData>
    <row r="1" spans="1:5" x14ac:dyDescent="0.2">
      <c r="A1" s="4" t="s">
        <v>274</v>
      </c>
      <c r="B1" s="5" t="s">
        <v>5</v>
      </c>
      <c r="C1" t="s">
        <v>275</v>
      </c>
      <c r="D1" t="s">
        <v>262</v>
      </c>
      <c r="E1" t="s">
        <v>267</v>
      </c>
    </row>
    <row r="2" spans="1:5" x14ac:dyDescent="0.2">
      <c r="A2" s="5" t="s">
        <v>276</v>
      </c>
      <c r="B2" s="5">
        <v>4</v>
      </c>
      <c r="C2">
        <v>0.99399999999999999</v>
      </c>
      <c r="D2">
        <f>VIGUETAS!B8</f>
        <v>596.88</v>
      </c>
      <c r="E2">
        <f>(D2*B2)*C2</f>
        <v>2373.19488</v>
      </c>
    </row>
    <row r="3" spans="1:5" x14ac:dyDescent="0.2">
      <c r="A3" s="5" t="s">
        <v>277</v>
      </c>
      <c r="B3" s="5">
        <f>VIGUETAS!B8/0.125</f>
        <v>4775.04</v>
      </c>
      <c r="C3">
        <v>0.25</v>
      </c>
      <c r="D3">
        <f>0.13*2+0.08*2+0.07*2</f>
        <v>0.56000000000000005</v>
      </c>
      <c r="E3">
        <f>(B3*D3)*C3</f>
        <v>668.50560000000007</v>
      </c>
    </row>
    <row r="4" spans="1:5" x14ac:dyDescent="0.2">
      <c r="A4" s="4" t="s">
        <v>278</v>
      </c>
    </row>
    <row r="5" spans="1:5" x14ac:dyDescent="0.2">
      <c r="A5" s="5" t="s">
        <v>276</v>
      </c>
      <c r="B5" s="5">
        <v>4</v>
      </c>
      <c r="C5">
        <v>0.99399999999999999</v>
      </c>
      <c r="D5">
        <f>COLUMNETAS!E7</f>
        <v>650.15933333333328</v>
      </c>
      <c r="E5">
        <f>(D5*B5)*C5</f>
        <v>2585.0335093333333</v>
      </c>
    </row>
    <row r="6" spans="1:5" x14ac:dyDescent="0.2">
      <c r="A6" s="5" t="s">
        <v>277</v>
      </c>
      <c r="B6" s="5">
        <f>COLUMNETAS!E7/0.125</f>
        <v>5201.2746666666662</v>
      </c>
      <c r="C6">
        <v>0.25</v>
      </c>
      <c r="D6">
        <f>0.13*2+0.08*2+0.07*2</f>
        <v>0.56000000000000005</v>
      </c>
      <c r="E6">
        <f>(B6*D6)*C6</f>
        <v>728.17845333333332</v>
      </c>
    </row>
    <row r="8" spans="1:5" x14ac:dyDescent="0.2">
      <c r="D8" t="s">
        <v>267</v>
      </c>
      <c r="E8">
        <f>SUM(E2:E6)</f>
        <v>6354.9124426666667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7D295-0E81-4850-86CA-F75A91BFF0A2}">
  <sheetPr codeName="Hoja3"/>
  <dimension ref="A1:D71"/>
  <sheetViews>
    <sheetView topLeftCell="A40" workbookViewId="0">
      <selection activeCell="B8" sqref="B8"/>
    </sheetView>
  </sheetViews>
  <sheetFormatPr baseColWidth="10" defaultRowHeight="16" x14ac:dyDescent="0.2"/>
  <cols>
    <col min="1" max="1" width="31.33203125" bestFit="1" customWidth="1"/>
  </cols>
  <sheetData>
    <row r="1" spans="1:4" x14ac:dyDescent="0.2">
      <c r="A1" s="223" t="s">
        <v>633</v>
      </c>
      <c r="B1" s="223"/>
      <c r="C1" s="223"/>
    </row>
    <row r="2" spans="1:4" x14ac:dyDescent="0.2">
      <c r="A2" t="s">
        <v>225</v>
      </c>
    </row>
    <row r="4" spans="1:4" x14ac:dyDescent="0.2">
      <c r="A4" t="s">
        <v>228</v>
      </c>
    </row>
    <row r="5" spans="1:4" x14ac:dyDescent="0.2">
      <c r="A5" s="3" t="s">
        <v>363</v>
      </c>
      <c r="C5">
        <v>2.8</v>
      </c>
    </row>
    <row r="6" spans="1:4" x14ac:dyDescent="0.2">
      <c r="A6" t="s">
        <v>364</v>
      </c>
    </row>
    <row r="7" spans="1:4" x14ac:dyDescent="0.2">
      <c r="A7" t="s">
        <v>365</v>
      </c>
      <c r="B7">
        <v>0.99</v>
      </c>
      <c r="C7">
        <v>2.8</v>
      </c>
      <c r="D7">
        <f>B7*C7</f>
        <v>2.7719999999999998</v>
      </c>
    </row>
    <row r="8" spans="1:4" x14ac:dyDescent="0.2">
      <c r="A8" t="s">
        <v>366</v>
      </c>
      <c r="C8">
        <v>2.8</v>
      </c>
      <c r="D8">
        <f t="shared" ref="D8:D34" si="0">B8*C8</f>
        <v>0</v>
      </c>
    </row>
    <row r="9" spans="1:4" x14ac:dyDescent="0.2">
      <c r="A9" t="s">
        <v>299</v>
      </c>
      <c r="C9">
        <v>2.8</v>
      </c>
      <c r="D9">
        <f t="shared" si="0"/>
        <v>0</v>
      </c>
    </row>
    <row r="10" spans="1:4" x14ac:dyDescent="0.2">
      <c r="A10" s="3" t="s">
        <v>340</v>
      </c>
      <c r="C10">
        <v>2.8</v>
      </c>
      <c r="D10">
        <f t="shared" si="0"/>
        <v>0</v>
      </c>
    </row>
    <row r="11" spans="1:4" x14ac:dyDescent="0.2">
      <c r="A11" s="3" t="s">
        <v>367</v>
      </c>
      <c r="C11">
        <v>2.8</v>
      </c>
      <c r="D11">
        <f t="shared" si="0"/>
        <v>0</v>
      </c>
    </row>
    <row r="12" spans="1:4" x14ac:dyDescent="0.2">
      <c r="A12" t="s">
        <v>374</v>
      </c>
      <c r="B12">
        <v>3.44</v>
      </c>
      <c r="C12">
        <v>2.8</v>
      </c>
      <c r="D12">
        <f t="shared" si="0"/>
        <v>9.6319999999999997</v>
      </c>
    </row>
    <row r="13" spans="1:4" x14ac:dyDescent="0.2">
      <c r="A13" t="s">
        <v>299</v>
      </c>
      <c r="C13">
        <v>2.8</v>
      </c>
      <c r="D13">
        <f t="shared" si="0"/>
        <v>0</v>
      </c>
    </row>
    <row r="14" spans="1:4" x14ac:dyDescent="0.2">
      <c r="A14" s="3" t="s">
        <v>367</v>
      </c>
      <c r="C14">
        <v>2.8</v>
      </c>
      <c r="D14">
        <f t="shared" si="0"/>
        <v>0</v>
      </c>
    </row>
    <row r="15" spans="1:4" x14ac:dyDescent="0.2">
      <c r="A15" t="s">
        <v>369</v>
      </c>
      <c r="C15">
        <v>2.8</v>
      </c>
      <c r="D15">
        <f t="shared" si="0"/>
        <v>0</v>
      </c>
    </row>
    <row r="16" spans="1:4" x14ac:dyDescent="0.2">
      <c r="A16" t="s">
        <v>343</v>
      </c>
      <c r="C16">
        <v>2.8</v>
      </c>
      <c r="D16">
        <f t="shared" si="0"/>
        <v>0</v>
      </c>
    </row>
    <row r="17" spans="1:4" x14ac:dyDescent="0.2">
      <c r="A17" t="s">
        <v>344</v>
      </c>
      <c r="C17">
        <v>2.8</v>
      </c>
      <c r="D17">
        <f t="shared" si="0"/>
        <v>0</v>
      </c>
    </row>
    <row r="18" spans="1:4" x14ac:dyDescent="0.2">
      <c r="A18" t="s">
        <v>370</v>
      </c>
    </row>
    <row r="19" spans="1:4" x14ac:dyDescent="0.2">
      <c r="A19" t="s">
        <v>371</v>
      </c>
      <c r="B19">
        <f>1.87+0.9</f>
        <v>2.77</v>
      </c>
      <c r="C19">
        <v>2.8</v>
      </c>
      <c r="D19">
        <f t="shared" si="0"/>
        <v>7.7559999999999993</v>
      </c>
    </row>
    <row r="20" spans="1:4" x14ac:dyDescent="0.2">
      <c r="A20" s="3" t="s">
        <v>363</v>
      </c>
      <c r="C20">
        <v>2.8</v>
      </c>
      <c r="D20">
        <f t="shared" si="0"/>
        <v>0</v>
      </c>
    </row>
    <row r="21" spans="1:4" x14ac:dyDescent="0.2">
      <c r="A21" t="s">
        <v>372</v>
      </c>
      <c r="C21">
        <v>2.8</v>
      </c>
      <c r="D21">
        <f t="shared" si="0"/>
        <v>0</v>
      </c>
    </row>
    <row r="22" spans="1:4" x14ac:dyDescent="0.2">
      <c r="A22" t="s">
        <v>346</v>
      </c>
      <c r="B22">
        <f>1.42+1.2</f>
        <v>2.62</v>
      </c>
      <c r="C22">
        <v>2.8</v>
      </c>
      <c r="D22">
        <f t="shared" si="0"/>
        <v>7.3359999999999994</v>
      </c>
    </row>
    <row r="23" spans="1:4" x14ac:dyDescent="0.2">
      <c r="A23" t="s">
        <v>373</v>
      </c>
      <c r="B23">
        <v>3.04</v>
      </c>
      <c r="C23">
        <v>2.8</v>
      </c>
      <c r="D23">
        <f t="shared" si="0"/>
        <v>8.5119999999999987</v>
      </c>
    </row>
    <row r="24" spans="1:4" x14ac:dyDescent="0.2">
      <c r="A24" t="s">
        <v>368</v>
      </c>
      <c r="B24">
        <v>2.62</v>
      </c>
      <c r="C24">
        <v>2.8</v>
      </c>
      <c r="D24">
        <f t="shared" si="0"/>
        <v>7.3359999999999994</v>
      </c>
    </row>
    <row r="25" spans="1:4" x14ac:dyDescent="0.2">
      <c r="A25" t="s">
        <v>375</v>
      </c>
      <c r="B25">
        <v>2.41</v>
      </c>
      <c r="C25">
        <v>2.8</v>
      </c>
      <c r="D25">
        <f t="shared" si="0"/>
        <v>6.7480000000000002</v>
      </c>
    </row>
    <row r="26" spans="1:4" x14ac:dyDescent="0.2">
      <c r="A26" s="3" t="s">
        <v>347</v>
      </c>
      <c r="B26">
        <v>1.6</v>
      </c>
      <c r="C26">
        <v>2.8</v>
      </c>
      <c r="D26">
        <f t="shared" si="0"/>
        <v>4.4799999999999995</v>
      </c>
    </row>
    <row r="27" spans="1:4" x14ac:dyDescent="0.2">
      <c r="A27" t="s">
        <v>351</v>
      </c>
      <c r="C27">
        <v>2.8</v>
      </c>
      <c r="D27">
        <f t="shared" si="0"/>
        <v>0</v>
      </c>
    </row>
    <row r="28" spans="1:4" x14ac:dyDescent="0.2">
      <c r="A28" s="3" t="s">
        <v>348</v>
      </c>
      <c r="B28">
        <v>1.6</v>
      </c>
      <c r="C28">
        <v>2.8</v>
      </c>
      <c r="D28">
        <f t="shared" si="0"/>
        <v>4.4799999999999995</v>
      </c>
    </row>
    <row r="29" spans="1:4" x14ac:dyDescent="0.2">
      <c r="A29" t="s">
        <v>376</v>
      </c>
      <c r="B29">
        <v>2.62</v>
      </c>
      <c r="C29">
        <v>2.8</v>
      </c>
      <c r="D29">
        <f t="shared" si="0"/>
        <v>7.3359999999999994</v>
      </c>
    </row>
    <row r="30" spans="1:4" x14ac:dyDescent="0.2">
      <c r="A30" t="s">
        <v>377</v>
      </c>
      <c r="C30">
        <v>2.8</v>
      </c>
      <c r="D30">
        <f t="shared" si="0"/>
        <v>0</v>
      </c>
    </row>
    <row r="31" spans="1:4" x14ac:dyDescent="0.2">
      <c r="A31" t="s">
        <v>368</v>
      </c>
      <c r="C31">
        <v>2.8</v>
      </c>
      <c r="D31">
        <f t="shared" si="0"/>
        <v>0</v>
      </c>
    </row>
    <row r="32" spans="1:4" x14ac:dyDescent="0.2">
      <c r="A32" t="s">
        <v>373</v>
      </c>
      <c r="B32">
        <v>3.04</v>
      </c>
      <c r="C32">
        <v>2.8</v>
      </c>
      <c r="D32">
        <f t="shared" si="0"/>
        <v>8.5119999999999987</v>
      </c>
    </row>
    <row r="33" spans="1:4" x14ac:dyDescent="0.2">
      <c r="A33" t="s">
        <v>346</v>
      </c>
      <c r="B33">
        <f>1.2*2</f>
        <v>2.4</v>
      </c>
      <c r="C33">
        <v>2.8</v>
      </c>
      <c r="D33">
        <f t="shared" si="0"/>
        <v>6.72</v>
      </c>
    </row>
    <row r="34" spans="1:4" x14ac:dyDescent="0.2">
      <c r="A34" t="s">
        <v>346</v>
      </c>
      <c r="B34">
        <f>1.48+1.43</f>
        <v>2.91</v>
      </c>
      <c r="C34">
        <v>2.8</v>
      </c>
      <c r="D34">
        <f t="shared" si="0"/>
        <v>8.1479999999999997</v>
      </c>
    </row>
    <row r="35" spans="1:4" x14ac:dyDescent="0.2">
      <c r="A35" t="s">
        <v>370</v>
      </c>
    </row>
    <row r="36" spans="1:4" x14ac:dyDescent="0.2">
      <c r="A36" t="s">
        <v>378</v>
      </c>
    </row>
    <row r="37" spans="1:4" x14ac:dyDescent="0.2">
      <c r="A37" t="s">
        <v>379</v>
      </c>
      <c r="C37">
        <v>2.8</v>
      </c>
      <c r="D37">
        <f t="shared" ref="D37:D42" si="1">B37*C37</f>
        <v>0</v>
      </c>
    </row>
    <row r="38" spans="1:4" x14ac:dyDescent="0.2">
      <c r="A38" t="s">
        <v>380</v>
      </c>
      <c r="C38">
        <v>2.8</v>
      </c>
      <c r="D38">
        <f t="shared" si="1"/>
        <v>0</v>
      </c>
    </row>
    <row r="39" spans="1:4" x14ac:dyDescent="0.2">
      <c r="A39" t="s">
        <v>381</v>
      </c>
      <c r="B39">
        <v>0.57999999999999996</v>
      </c>
      <c r="C39">
        <v>2.8</v>
      </c>
      <c r="D39">
        <f t="shared" si="1"/>
        <v>1.6239999999999999</v>
      </c>
    </row>
    <row r="40" spans="1:4" x14ac:dyDescent="0.2">
      <c r="A40" t="s">
        <v>381</v>
      </c>
      <c r="C40">
        <v>2.8</v>
      </c>
      <c r="D40">
        <f t="shared" si="1"/>
        <v>0</v>
      </c>
    </row>
    <row r="41" spans="1:4" x14ac:dyDescent="0.2">
      <c r="A41" s="3" t="s">
        <v>363</v>
      </c>
      <c r="C41">
        <v>2.8</v>
      </c>
      <c r="D41">
        <f t="shared" si="1"/>
        <v>0</v>
      </c>
    </row>
    <row r="42" spans="1:4" x14ac:dyDescent="0.2">
      <c r="A42" s="3" t="s">
        <v>363</v>
      </c>
      <c r="C42">
        <v>2.8</v>
      </c>
      <c r="D42">
        <f t="shared" si="1"/>
        <v>0</v>
      </c>
    </row>
    <row r="43" spans="1:4" x14ac:dyDescent="0.2">
      <c r="A43" t="s">
        <v>378</v>
      </c>
    </row>
    <row r="44" spans="1:4" x14ac:dyDescent="0.2">
      <c r="A44" t="s">
        <v>382</v>
      </c>
      <c r="C44">
        <v>2.8</v>
      </c>
      <c r="D44">
        <f t="shared" ref="D44" si="2">B44*C44</f>
        <v>0</v>
      </c>
    </row>
    <row r="45" spans="1:4" x14ac:dyDescent="0.2">
      <c r="A45" t="s">
        <v>383</v>
      </c>
    </row>
    <row r="47" spans="1:4" x14ac:dyDescent="0.2">
      <c r="A47" t="s">
        <v>236</v>
      </c>
    </row>
    <row r="48" spans="1:4" x14ac:dyDescent="0.2">
      <c r="A48" s="3" t="s">
        <v>363</v>
      </c>
      <c r="C48">
        <v>2.8</v>
      </c>
      <c r="D48">
        <f t="shared" ref="D48:D62" si="3">B48*C48</f>
        <v>0</v>
      </c>
    </row>
    <row r="49" spans="1:4" x14ac:dyDescent="0.2">
      <c r="A49" t="s">
        <v>384</v>
      </c>
      <c r="B49">
        <v>1.1200000000000001</v>
      </c>
      <c r="C49">
        <v>2.8</v>
      </c>
      <c r="D49">
        <f t="shared" si="3"/>
        <v>3.1360000000000001</v>
      </c>
    </row>
    <row r="50" spans="1:4" x14ac:dyDescent="0.2">
      <c r="A50" t="s">
        <v>384</v>
      </c>
      <c r="C50">
        <v>2.8</v>
      </c>
      <c r="D50">
        <f t="shared" ref="D50" si="4">B50*C50</f>
        <v>0</v>
      </c>
    </row>
    <row r="51" spans="1:4" x14ac:dyDescent="0.2">
      <c r="A51" t="s">
        <v>385</v>
      </c>
      <c r="C51">
        <v>2.8</v>
      </c>
      <c r="D51">
        <f t="shared" si="3"/>
        <v>0</v>
      </c>
    </row>
    <row r="52" spans="1:4" x14ac:dyDescent="0.2">
      <c r="A52" t="s">
        <v>299</v>
      </c>
      <c r="C52">
        <v>2.8</v>
      </c>
      <c r="D52">
        <f t="shared" si="3"/>
        <v>0</v>
      </c>
    </row>
    <row r="53" spans="1:4" x14ac:dyDescent="0.2">
      <c r="A53" s="3" t="s">
        <v>386</v>
      </c>
      <c r="C53">
        <v>2.8</v>
      </c>
      <c r="D53">
        <f t="shared" si="3"/>
        <v>0</v>
      </c>
    </row>
    <row r="54" spans="1:4" x14ac:dyDescent="0.2">
      <c r="A54" t="s">
        <v>351</v>
      </c>
      <c r="C54">
        <v>2.8</v>
      </c>
      <c r="D54">
        <f t="shared" si="3"/>
        <v>0</v>
      </c>
    </row>
    <row r="55" spans="1:4" x14ac:dyDescent="0.2">
      <c r="A55" t="s">
        <v>387</v>
      </c>
      <c r="C55">
        <v>2.8</v>
      </c>
      <c r="D55">
        <f t="shared" si="3"/>
        <v>0</v>
      </c>
    </row>
    <row r="56" spans="1:4" x14ac:dyDescent="0.2">
      <c r="A56" t="s">
        <v>388</v>
      </c>
      <c r="C56">
        <v>2.8</v>
      </c>
      <c r="D56">
        <f t="shared" si="3"/>
        <v>0</v>
      </c>
    </row>
    <row r="57" spans="1:4" x14ac:dyDescent="0.2">
      <c r="A57" s="3" t="s">
        <v>389</v>
      </c>
      <c r="C57">
        <v>2.8</v>
      </c>
      <c r="D57">
        <f t="shared" si="3"/>
        <v>0</v>
      </c>
    </row>
    <row r="58" spans="1:4" x14ac:dyDescent="0.2">
      <c r="A58" t="s">
        <v>390</v>
      </c>
      <c r="C58">
        <v>2.8</v>
      </c>
      <c r="D58">
        <f t="shared" si="3"/>
        <v>0</v>
      </c>
    </row>
    <row r="59" spans="1:4" x14ac:dyDescent="0.2">
      <c r="A59" t="s">
        <v>343</v>
      </c>
      <c r="C59">
        <v>2.8</v>
      </c>
      <c r="D59">
        <f t="shared" si="3"/>
        <v>0</v>
      </c>
    </row>
    <row r="60" spans="1:4" x14ac:dyDescent="0.2">
      <c r="A60" t="s">
        <v>344</v>
      </c>
      <c r="C60">
        <v>2.8</v>
      </c>
      <c r="D60">
        <f t="shared" si="3"/>
        <v>0</v>
      </c>
    </row>
    <row r="61" spans="1:4" x14ac:dyDescent="0.2">
      <c r="A61" t="s">
        <v>391</v>
      </c>
      <c r="B61">
        <f>3.41+0.9+0.9+1.87</f>
        <v>7.080000000000001</v>
      </c>
      <c r="C61">
        <v>2.8</v>
      </c>
      <c r="D61">
        <f t="shared" si="3"/>
        <v>19.824000000000002</v>
      </c>
    </row>
    <row r="62" spans="1:4" x14ac:dyDescent="0.2">
      <c r="A62" s="3" t="s">
        <v>392</v>
      </c>
      <c r="C62">
        <v>2.8</v>
      </c>
      <c r="D62">
        <f t="shared" si="3"/>
        <v>0</v>
      </c>
    </row>
    <row r="63" spans="1:4" x14ac:dyDescent="0.2">
      <c r="A63" t="s">
        <v>370</v>
      </c>
    </row>
    <row r="64" spans="1:4" x14ac:dyDescent="0.2">
      <c r="A64" t="s">
        <v>393</v>
      </c>
      <c r="C64">
        <v>2.8</v>
      </c>
      <c r="D64">
        <f t="shared" ref="D64" si="5">B64*C64</f>
        <v>0</v>
      </c>
    </row>
    <row r="65" spans="1:4" x14ac:dyDescent="0.2">
      <c r="A65" t="s">
        <v>364</v>
      </c>
    </row>
    <row r="66" spans="1:4" x14ac:dyDescent="0.2">
      <c r="A66" t="s">
        <v>399</v>
      </c>
      <c r="C66">
        <v>2.8</v>
      </c>
      <c r="D66">
        <f t="shared" ref="D66" si="6">B66*C66</f>
        <v>0</v>
      </c>
    </row>
    <row r="67" spans="1:4" x14ac:dyDescent="0.2">
      <c r="A67" t="s">
        <v>378</v>
      </c>
    </row>
    <row r="68" spans="1:4" x14ac:dyDescent="0.2">
      <c r="A68" t="s">
        <v>394</v>
      </c>
      <c r="C68">
        <v>2.8</v>
      </c>
      <c r="D68">
        <f t="shared" ref="D68:D70" si="7">B68*C68</f>
        <v>0</v>
      </c>
    </row>
    <row r="69" spans="1:4" x14ac:dyDescent="0.2">
      <c r="A69" t="s">
        <v>394</v>
      </c>
      <c r="C69">
        <v>2.8</v>
      </c>
      <c r="D69">
        <f t="shared" si="7"/>
        <v>0</v>
      </c>
    </row>
    <row r="70" spans="1:4" x14ac:dyDescent="0.2">
      <c r="A70" t="s">
        <v>394</v>
      </c>
      <c r="C70">
        <v>2.8</v>
      </c>
      <c r="D70">
        <f t="shared" si="7"/>
        <v>0</v>
      </c>
    </row>
    <row r="71" spans="1:4" x14ac:dyDescent="0.2">
      <c r="A71" t="s">
        <v>395</v>
      </c>
      <c r="C71" t="s">
        <v>265</v>
      </c>
      <c r="D71" s="7">
        <f>SUM(D2:D70)</f>
        <v>114.35199999999998</v>
      </c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F6B59-5610-4B80-9B7F-C9647EF6B221}">
  <sheetPr codeName="Hoja4"/>
  <dimension ref="A2:B10"/>
  <sheetViews>
    <sheetView workbookViewId="0">
      <selection activeCell="B8" sqref="B8"/>
    </sheetView>
  </sheetViews>
  <sheetFormatPr baseColWidth="10" defaultRowHeight="16" x14ac:dyDescent="0.2"/>
  <cols>
    <col min="1" max="1" width="21.1640625" bestFit="1" customWidth="1"/>
  </cols>
  <sheetData>
    <row r="2" spans="1:2" x14ac:dyDescent="0.2">
      <c r="A2" t="s">
        <v>630</v>
      </c>
    </row>
    <row r="3" spans="1:2" x14ac:dyDescent="0.2">
      <c r="A3" t="s">
        <v>228</v>
      </c>
    </row>
    <row r="4" spans="1:2" x14ac:dyDescent="0.2">
      <c r="A4" t="s">
        <v>631</v>
      </c>
      <c r="B4">
        <v>1.38</v>
      </c>
    </row>
    <row r="5" spans="1:2" x14ac:dyDescent="0.2">
      <c r="A5" t="s">
        <v>375</v>
      </c>
      <c r="B5">
        <v>1.38</v>
      </c>
    </row>
    <row r="6" spans="1:2" x14ac:dyDescent="0.2">
      <c r="A6" t="s">
        <v>351</v>
      </c>
      <c r="B6">
        <v>1.52</v>
      </c>
    </row>
    <row r="7" spans="1:2" x14ac:dyDescent="0.2">
      <c r="A7" t="s">
        <v>236</v>
      </c>
    </row>
    <row r="8" spans="1:2" x14ac:dyDescent="0.2">
      <c r="A8" t="s">
        <v>634</v>
      </c>
      <c r="B8">
        <f>1.32+1.55</f>
        <v>2.87</v>
      </c>
    </row>
    <row r="9" spans="1:2" x14ac:dyDescent="0.2">
      <c r="A9" t="s">
        <v>351</v>
      </c>
      <c r="B9">
        <v>1.2</v>
      </c>
    </row>
    <row r="10" spans="1:2" x14ac:dyDescent="0.2">
      <c r="A10" t="s">
        <v>265</v>
      </c>
      <c r="B10" s="7">
        <f>SUM(B4:B9)</f>
        <v>8.35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C5FCB-C127-4A7B-B21A-5FFA2CD0DA0C}">
  <sheetPr codeName="Hoja5"/>
  <dimension ref="A2:C5"/>
  <sheetViews>
    <sheetView workbookViewId="0">
      <selection activeCell="D578" sqref="D578"/>
    </sheetView>
  </sheetViews>
  <sheetFormatPr baseColWidth="10" defaultRowHeight="16" x14ac:dyDescent="0.2"/>
  <cols>
    <col min="1" max="1" width="30.6640625" bestFit="1" customWidth="1"/>
    <col min="2" max="3" width="11" style="5"/>
  </cols>
  <sheetData>
    <row r="2" spans="1:3" x14ac:dyDescent="0.2">
      <c r="A2" t="s">
        <v>626</v>
      </c>
    </row>
    <row r="3" spans="1:3" x14ac:dyDescent="0.2">
      <c r="A3" t="s">
        <v>627</v>
      </c>
      <c r="B3" s="8">
        <v>20</v>
      </c>
      <c r="C3" s="5" t="s">
        <v>8</v>
      </c>
    </row>
    <row r="4" spans="1:3" x14ac:dyDescent="0.2">
      <c r="A4" t="s">
        <v>628</v>
      </c>
      <c r="B4" s="8">
        <v>5.68</v>
      </c>
      <c r="C4" s="5" t="s">
        <v>11</v>
      </c>
    </row>
    <row r="5" spans="1:3" x14ac:dyDescent="0.2">
      <c r="A5" t="s">
        <v>629</v>
      </c>
      <c r="B5" s="8">
        <f>B4</f>
        <v>5.68</v>
      </c>
      <c r="C5" s="5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60</vt:i4>
      </vt:variant>
      <vt:variant>
        <vt:lpstr>Rangos con nombre</vt:lpstr>
      </vt:variant>
      <vt:variant>
        <vt:i4>2</vt:i4>
      </vt:variant>
    </vt:vector>
  </HeadingPairs>
  <TitlesOfParts>
    <vt:vector size="62" baseType="lpstr">
      <vt:lpstr>PRESUPUESTO FINAL</vt:lpstr>
      <vt:lpstr>ALFAGIA</vt:lpstr>
      <vt:lpstr>ANDEN </vt:lpstr>
      <vt:lpstr>PUERTA HIDRAULICA</vt:lpstr>
      <vt:lpstr>ANCLAJE METEORA</vt:lpstr>
      <vt:lpstr>MOVIMIENTO DE TIERRA</vt:lpstr>
      <vt:lpstr>MUEBLE ALTO</vt:lpstr>
      <vt:lpstr>MUEBLE BAJO RH</vt:lpstr>
      <vt:lpstr>CUBIERTA POLICARBONATO</vt:lpstr>
      <vt:lpstr>MEDIACAÑA</vt:lpstr>
      <vt:lpstr>IMPERMEABILIZACION TERRAZAS</vt:lpstr>
      <vt:lpstr>PLANTA ORNAMENTALES</vt:lpstr>
      <vt:lpstr>TIERRA AGRICOLA</vt:lpstr>
      <vt:lpstr>BANCA MADERA</vt:lpstr>
      <vt:lpstr>MURETES MATERAS</vt:lpstr>
      <vt:lpstr>VENTANAS</vt:lpstr>
      <vt:lpstr>BARANDA PASAMANOS</vt:lpstr>
      <vt:lpstr>QUARTZTONE</vt:lpstr>
      <vt:lpstr>REFUERZO MESONES</vt:lpstr>
      <vt:lpstr>SOPORTES ESPEJOS</vt:lpstr>
      <vt:lpstr>ESPEJOS</vt:lpstr>
      <vt:lpstr>LAVAPLATOS INOX</vt:lpstr>
      <vt:lpstr>REJILLAS</vt:lpstr>
      <vt:lpstr>GRIFERIAS</vt:lpstr>
      <vt:lpstr>SANITARIOS Y LAVAMANOS</vt:lpstr>
      <vt:lpstr>DIVISIONES EN ACERO INOXIDABLE</vt:lpstr>
      <vt:lpstr>PUERTAS </vt:lpstr>
      <vt:lpstr>PUERTAS MEDIDAS</vt:lpstr>
      <vt:lpstr>FACHADA EN VIDRIO</vt:lpstr>
      <vt:lpstr>ESTRUCTURAL TANQUE</vt:lpstr>
      <vt:lpstr>KORAZA</vt:lpstr>
      <vt:lpstr>ESGRAFIADOS</vt:lpstr>
      <vt:lpstr>VINILO CIELO</vt:lpstr>
      <vt:lpstr>VINILO INTERNO</vt:lpstr>
      <vt:lpstr>FILOS</vt:lpstr>
      <vt:lpstr>ESTUCO EXTERIOR</vt:lpstr>
      <vt:lpstr>ESTUCOS INTERNOS</vt:lpstr>
      <vt:lpstr>ESQUINEROS</vt:lpstr>
      <vt:lpstr>MEDIACAÑA </vt:lpstr>
      <vt:lpstr>CIELO FALSO</vt:lpstr>
      <vt:lpstr>REJILLA PISO</vt:lpstr>
      <vt:lpstr>MESONES</vt:lpstr>
      <vt:lpstr>ENCHAPE CERAMICO</vt:lpstr>
      <vt:lpstr>PENDIENTADO LOSA</vt:lpstr>
      <vt:lpstr>GUARDAESCOBAS</vt:lpstr>
      <vt:lpstr>ALISTADO DE PISO</vt:lpstr>
      <vt:lpstr>MALLA ELECTROSOLDADA</vt:lpstr>
      <vt:lpstr>CONTRAPISO 10CM</vt:lpstr>
      <vt:lpstr>ESTRIAS</vt:lpstr>
      <vt:lpstr>DILATACIONES</vt:lpstr>
      <vt:lpstr>CARTERAS REPELLO</vt:lpstr>
      <vt:lpstr>PISOS</vt:lpstr>
      <vt:lpstr>REPELLOS CULATAS</vt:lpstr>
      <vt:lpstr> REPELLOS INTERNOS</vt:lpstr>
      <vt:lpstr>MUROS BLOQUE CONCRETO</vt:lpstr>
      <vt:lpstr>ESTRCUTURA MURO SUPERBOARD</vt:lpstr>
      <vt:lpstr>MURO BOARD</vt:lpstr>
      <vt:lpstr>COLUMNETAS</vt:lpstr>
      <vt:lpstr>VIGUETAS</vt:lpstr>
      <vt:lpstr>ACERO ELEMENTOS NO ESTRUCTURALE</vt:lpstr>
      <vt:lpstr>'PRESUPUESTO FINAL'!Área_de_impresión</vt:lpstr>
      <vt:lpstr>'PRESUPUESTO FINAL'!Títulos_a_imprimir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Kelly Angulo</cp:lastModifiedBy>
  <cp:lastPrinted>2025-02-05T19:28:28Z</cp:lastPrinted>
  <dcterms:created xsi:type="dcterms:W3CDTF">2020-06-05T16:44:20Z</dcterms:created>
  <dcterms:modified xsi:type="dcterms:W3CDTF">2025-11-17T20:11:57Z</dcterms:modified>
</cp:coreProperties>
</file>